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_Backup\1.Charles\1.Product\A8.NCP1623\8.Design tool\Backup\"/>
    </mc:Choice>
  </mc:AlternateContent>
  <xr:revisionPtr revIDLastSave="0" documentId="13_ncr:1_{EE81F387-359E-4496-8246-1E9429CABA64}" xr6:coauthVersionLast="47" xr6:coauthVersionMax="47" xr10:uidLastSave="{00000000-0000-0000-0000-000000000000}"/>
  <bookViews>
    <workbookView xWindow="-120" yWindow="-16320" windowWidth="29040" windowHeight="15840" xr2:uid="{00000000-000D-0000-FFFF-FFFF00000000}"/>
  </bookViews>
  <sheets>
    <sheet name="NCP1623 design tool" sheetId="2" r:id="rId1"/>
  </sheets>
  <definedNames>
    <definedName name="A_e">'NCP1623 design tool'!$R$52</definedName>
    <definedName name="A_pm">'NCP1623 design tool'!$V$11</definedName>
    <definedName name="Bmax">'NCP1623 design tool'!$R$7</definedName>
    <definedName name="Bst.Follow">'NCP1623 design tool'!$Z$53</definedName>
    <definedName name="C_dt">'NCP1623 design tool'!$AN$49</definedName>
    <definedName name="C_p">'NCP1623 design tool'!$V$64</definedName>
    <definedName name="C_z">'NCP1623 design tool'!$V$62</definedName>
    <definedName name="Caux">'NCP1623 design tool'!$V$74</definedName>
    <definedName name="Caux.recommed">'NCP1623 design tool'!$V$73</definedName>
    <definedName name="Cbulk">'NCP1623 design tool'!$R$57</definedName>
    <definedName name="Cbulk.min1">'NCP1623 design tool'!$R$54</definedName>
    <definedName name="Cbulk.min2">'NCP1623 design tool'!$R$56</definedName>
    <definedName name="Eff">'NCP1623 design tool'!$N$16</definedName>
    <definedName name="Eff.sim">'NCP1623 design tool'!$N$35</definedName>
    <definedName name="f_o">'NCP1623 design tool'!$V$65</definedName>
    <definedName name="f_p">'NCP1623 design tool'!$V$9</definedName>
    <definedName name="f_p2">'NCP1623 design tool'!$V$67</definedName>
    <definedName name="f_z">'NCP1623 design tool'!$V$66</definedName>
    <definedName name="fcross">'NCP1623 design tool'!$V$10</definedName>
    <definedName name="fline">'NCP1623 design tool'!$N$9</definedName>
    <definedName name="fline.sim">'NCP1623 design tool'!$N$32</definedName>
    <definedName name="fo.ac">'NCP1623 design tool'!#REF!</definedName>
    <definedName name="fp.ac">'NCP1623 design tool'!#REF!</definedName>
    <definedName name="G_EA">'NCP1623 design tool'!$V$58</definedName>
    <definedName name="G_o">'NCP1623 design tool'!$V$61</definedName>
    <definedName name="Go.ac">'NCP1623 design tool'!#REF!</definedName>
    <definedName name="Ics.pk">'NCP1623 design tool'!$R$51</definedName>
    <definedName name="IFB.LL">'NCP1623 design tool'!$V$49</definedName>
    <definedName name="IL.pk.max">'NCP1623 design tool'!$R$11</definedName>
    <definedName name="Iout.ff">'NCP1623 design tool'!$V$82</definedName>
    <definedName name="Iout.max.sim">'NCP1623 design tool'!$V$79</definedName>
    <definedName name="Isw.rms">'NCP1623 design tool'!$R$53</definedName>
    <definedName name="K_cs">'NCP1623 design tool'!$V$19</definedName>
    <definedName name="KVFB.pkpk">'NCP1623 design tool'!$R$15</definedName>
    <definedName name="Lbst">'NCP1623 design tool'!$R$50</definedName>
    <definedName name="Lbst.max">'NCP1623 design tool'!$R$49</definedName>
    <definedName name="Lbst.sim">'NCP1623 design tool'!$V$77</definedName>
    <definedName name="Load">'NCP1623 design tool'!#REF!</definedName>
    <definedName name="Load.con1">'NCP1623 design tool'!$N$38</definedName>
    <definedName name="Load.con2">'NCP1623 design tool'!$N$39</definedName>
    <definedName name="Load.con3">'NCP1623 design tool'!$N$40</definedName>
    <definedName name="Load.con4">'NCP1623 design tool'!$N$41</definedName>
    <definedName name="N_a">'NCP1623 design tool'!$R$10</definedName>
    <definedName name="N_p">'NCP1623 design tool'!$R$9</definedName>
    <definedName name="option">'NCP1623 design tool'!$N$17</definedName>
    <definedName name="Pd.RCS.aux">'NCP1623 design tool'!$V$72</definedName>
    <definedName name="Pd.RCS.drain">'NCP1623 design tool'!$V$71</definedName>
    <definedName name="Pd.RFB">'NCP1623 design tool'!$V$50</definedName>
    <definedName name="Pin.ff">'NCP1623 design tool'!$V$80</definedName>
    <definedName name="Pin.max">'NCP1623 design tool'!$N$51</definedName>
    <definedName name="Po.ac">'NCP1623 design tool'!#REF!</definedName>
    <definedName name="Po.max">'NCP1623 design tool'!$N$15</definedName>
    <definedName name="Pout.ff">'NCP1623 design tool'!$V$81</definedName>
    <definedName name="R_dt">'NCP1623 design tool'!$Z$55</definedName>
    <definedName name="R_o">'NCP1623 design tool'!$V$60</definedName>
    <definedName name="R_z">'NCP1623 design tool'!$V$63</definedName>
    <definedName name="Rcs_2">'NCP1623 design tool'!$V$68</definedName>
    <definedName name="Rcs1.aux">'NCP1623 design tool'!$V$70</definedName>
    <definedName name="Rcs1.drain">'NCP1623 design tool'!$V$69</definedName>
    <definedName name="Rds.on">'NCP1623 design tool'!$R$21</definedName>
    <definedName name="RFB.total">'NCP1623 design tool'!$V$53</definedName>
    <definedName name="RFB1.f">'NCP1623 design tool'!$V$56</definedName>
    <definedName name="RFB1.LL">'NCP1623 design tool'!$V$51</definedName>
    <definedName name="RFB1.nom">'NCP1623 design tool'!$V$54</definedName>
    <definedName name="RFB2.f">'NCP1623 design tool'!$V$57</definedName>
    <definedName name="RFB2.LL">'NCP1623 design tool'!$V$52</definedName>
    <definedName name="RFB2.nom">'NCP1623 design tool'!$V$55</definedName>
    <definedName name="Rload">'NCP1623 design tool'!$V$59</definedName>
    <definedName name="Rload.ac">'NCP1623 design tool'!#REF!</definedName>
    <definedName name="Ro.ac">'NCP1623 design tool'!#REF!</definedName>
    <definedName name="Rsense">'NCP1623 design tool'!$V$17</definedName>
    <definedName name="tdt.con1">'NCP1623 design tool'!$V$91</definedName>
    <definedName name="tdt.con2">'NCP1623 design tool'!$V$92</definedName>
    <definedName name="tdt.con3">'NCP1623 design tool'!$V$93</definedName>
    <definedName name="tdt.con4">'NCP1623 design tool'!$V$94</definedName>
    <definedName name="thold.up">'NCP1623 design tool'!$R$55</definedName>
    <definedName name="ton.con1">'NCP1623 design tool'!$V$87</definedName>
    <definedName name="ton.con2">'NCP1623 design tool'!$V$88</definedName>
    <definedName name="ton.con3">'NCP1623 design tool'!$V$89</definedName>
    <definedName name="ton.con4">'NCP1623 design tool'!$V$90</definedName>
    <definedName name="Ton.max">'NCP1623 design tool'!$N$49</definedName>
    <definedName name="Ton.max.ac">'NCP1623 design tool'!#REF!</definedName>
    <definedName name="Ton.max.HL">'NCP1623 design tool'!$N$50</definedName>
    <definedName name="Ton.max.sim">'NCP1623 design tool'!$V$78</definedName>
    <definedName name="VCS.BO.EN">'NCP1623 design tool'!$N$55</definedName>
    <definedName name="VCS.BO.EX">'NCP1623 design tool'!$N$56</definedName>
    <definedName name="VCS.HL">'NCP1623 design tool'!$N$53</definedName>
    <definedName name="VCS.LL">'NCP1623 design tool'!$N$54</definedName>
    <definedName name="VCS.OVP2">'NCP1623 design tool'!$N$57</definedName>
    <definedName name="Vctrl.con1">'NCP1623 design tool'!$V$83</definedName>
    <definedName name="Vctrl.con2">'NCP1623 design tool'!$V$84</definedName>
    <definedName name="Vctrl.con3">'NCP1623 design tool'!$V$85</definedName>
    <definedName name="Vctrl.con4">'NCP1623 design tool'!$V$86</definedName>
    <definedName name="VCTRL.FF">'NCP1623 design tool'!$Z$54</definedName>
    <definedName name="VDbd.f">'NCP1623 design tool'!$R$27</definedName>
    <definedName name="VDbst.f">'NCP1623 design tool'!$R$24</definedName>
    <definedName name="Vline.ac">'NCP1623 design tool'!#REF!</definedName>
    <definedName name="Vline.max">'NCP1623 design tool'!$N$11</definedName>
    <definedName name="Vline.min">'NCP1623 design tool'!$N$10</definedName>
    <definedName name="Vline.sim">'NCP1623 design tool'!$N$33</definedName>
    <definedName name="Vo.ac">'NCP1623 design tool'!#REF!</definedName>
    <definedName name="Vo.HL">'NCP1623 design tool'!$N$12</definedName>
    <definedName name="Vo.LL">'NCP1623 design tool'!$N$52</definedName>
    <definedName name="Vo.LL.input">'NCP1623 design tool'!$N$13</definedName>
    <definedName name="Vo.min">'NCP1623 design tool'!$N$14</definedName>
    <definedName name="Vout.sim">'NCP1623 design tool'!$N$34</definedName>
    <definedName name="zcd_sense">'NCP1623 design tool'!$N$18</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58" i="2" l="1"/>
  <c r="AJ58" i="2"/>
  <c r="AI59" i="2"/>
  <c r="AJ59" i="2"/>
  <c r="AI60" i="2"/>
  <c r="AJ60" i="2" s="1"/>
  <c r="AI61" i="2"/>
  <c r="AJ61" i="2" s="1"/>
  <c r="AI62" i="2"/>
  <c r="AJ62" i="2" s="1"/>
  <c r="AI63" i="2"/>
  <c r="AJ63" i="2" s="1"/>
  <c r="AI64" i="2"/>
  <c r="AJ64" i="2" s="1"/>
  <c r="AI65" i="2"/>
  <c r="AJ65" i="2"/>
  <c r="AI66" i="2"/>
  <c r="AJ66" i="2" s="1"/>
  <c r="AI67" i="2"/>
  <c r="AJ67" i="2"/>
  <c r="AI68" i="2"/>
  <c r="AJ68" i="2"/>
  <c r="AI69" i="2"/>
  <c r="AJ69" i="2"/>
  <c r="AI70" i="2"/>
  <c r="AJ70" i="2" s="1"/>
  <c r="AI71" i="2"/>
  <c r="AJ71" i="2" s="1"/>
  <c r="AI72" i="2"/>
  <c r="AJ72" i="2" s="1"/>
  <c r="AI73" i="2"/>
  <c r="AJ73" i="2" s="1"/>
  <c r="AI74" i="2"/>
  <c r="AJ74" i="2" s="1"/>
  <c r="AI75" i="2"/>
  <c r="AJ75" i="2"/>
  <c r="AI76" i="2"/>
  <c r="AJ76" i="2"/>
  <c r="AI77" i="2"/>
  <c r="AJ77" i="2" s="1"/>
  <c r="AI78" i="2"/>
  <c r="AJ78" i="2" s="1"/>
  <c r="AI79" i="2"/>
  <c r="AJ79" i="2" s="1"/>
  <c r="AI80" i="2"/>
  <c r="AJ80" i="2" s="1"/>
  <c r="AI81" i="2"/>
  <c r="AJ81" i="2" s="1"/>
  <c r="AI82" i="2"/>
  <c r="AJ82" i="2"/>
  <c r="AI83" i="2"/>
  <c r="AJ83" i="2"/>
  <c r="AI84" i="2"/>
  <c r="AJ84" i="2"/>
  <c r="AI85" i="2"/>
  <c r="AJ85" i="2" s="1"/>
  <c r="AI86" i="2"/>
  <c r="AJ86" i="2" s="1"/>
  <c r="AI87" i="2"/>
  <c r="AJ87" i="2" s="1"/>
  <c r="AI88" i="2"/>
  <c r="AJ88" i="2" s="1"/>
  <c r="AI89" i="2"/>
  <c r="AJ89" i="2" s="1"/>
  <c r="AI90" i="2"/>
  <c r="AJ90" i="2" s="1"/>
  <c r="AI91" i="2"/>
  <c r="AJ91" i="2" s="1"/>
  <c r="AI92" i="2"/>
  <c r="AJ92" i="2"/>
  <c r="AI93" i="2"/>
  <c r="AJ93" i="2"/>
  <c r="AI94" i="2"/>
  <c r="AJ94" i="2" s="1"/>
  <c r="AI95" i="2"/>
  <c r="AJ95" i="2"/>
  <c r="AI96" i="2"/>
  <c r="AJ96" i="2" s="1"/>
  <c r="AI97" i="2"/>
  <c r="AJ97" i="2"/>
  <c r="AI98" i="2"/>
  <c r="AJ98" i="2" s="1"/>
  <c r="AI99" i="2"/>
  <c r="AJ99" i="2" s="1"/>
  <c r="AI100" i="2"/>
  <c r="AJ100" i="2"/>
  <c r="AI101" i="2"/>
  <c r="AJ101" i="2" s="1"/>
  <c r="AI102" i="2"/>
  <c r="AJ102" i="2" s="1"/>
  <c r="AI103" i="2"/>
  <c r="AJ103" i="2" s="1"/>
  <c r="AI104" i="2"/>
  <c r="AJ104" i="2" s="1"/>
  <c r="AI105" i="2"/>
  <c r="AJ105" i="2"/>
  <c r="AI106" i="2"/>
  <c r="AJ106" i="2" s="1"/>
  <c r="AI107" i="2"/>
  <c r="AJ107" i="2"/>
  <c r="AI108" i="2"/>
  <c r="AJ108" i="2" s="1"/>
  <c r="AI109" i="2"/>
  <c r="AJ109" i="2" s="1"/>
  <c r="AI110" i="2"/>
  <c r="AJ110" i="2" s="1"/>
  <c r="AI111" i="2"/>
  <c r="AJ111" i="2" s="1"/>
  <c r="AI112" i="2"/>
  <c r="AJ112" i="2" s="1"/>
  <c r="AI113" i="2"/>
  <c r="AJ113" i="2"/>
  <c r="AI114" i="2"/>
  <c r="AJ114" i="2" s="1"/>
  <c r="AI115" i="2"/>
  <c r="AJ115" i="2" s="1"/>
  <c r="AI116" i="2"/>
  <c r="AJ116" i="2"/>
  <c r="AI117" i="2"/>
  <c r="AJ117" i="2" s="1"/>
  <c r="AI118" i="2"/>
  <c r="AJ118" i="2" s="1"/>
  <c r="AI119" i="2"/>
  <c r="AJ119" i="2" s="1"/>
  <c r="AI120" i="2"/>
  <c r="AJ120" i="2" s="1"/>
  <c r="AI121" i="2"/>
  <c r="AJ121" i="2"/>
  <c r="AI122" i="2"/>
  <c r="AJ122" i="2" s="1"/>
  <c r="AI123" i="2"/>
  <c r="AJ123" i="2"/>
  <c r="AI124" i="2"/>
  <c r="AJ124" i="2" s="1"/>
  <c r="AI125" i="2"/>
  <c r="AJ125" i="2"/>
  <c r="AI126" i="2"/>
  <c r="AJ126" i="2" s="1"/>
  <c r="AI127" i="2"/>
  <c r="AJ127" i="2" s="1"/>
  <c r="AI128" i="2"/>
  <c r="AJ128" i="2" s="1"/>
  <c r="AI129" i="2"/>
  <c r="AJ129" i="2" s="1"/>
  <c r="AI130" i="2"/>
  <c r="AJ130" i="2" s="1"/>
  <c r="AI131" i="2"/>
  <c r="AJ131" i="2"/>
  <c r="AI132" i="2"/>
  <c r="AJ132" i="2" s="1"/>
  <c r="AI133" i="2"/>
  <c r="AJ133" i="2" s="1"/>
  <c r="AI134" i="2"/>
  <c r="AJ134" i="2" s="1"/>
  <c r="AI135" i="2"/>
  <c r="AJ135" i="2" s="1"/>
  <c r="AI136" i="2"/>
  <c r="AJ136" i="2" s="1"/>
  <c r="AI137" i="2"/>
  <c r="AJ137" i="2" s="1"/>
  <c r="AI138" i="2"/>
  <c r="AJ138" i="2"/>
  <c r="AI139" i="2"/>
  <c r="AJ139" i="2"/>
  <c r="AI140" i="2"/>
  <c r="AJ140" i="2" s="1"/>
  <c r="AI141" i="2"/>
  <c r="AJ141" i="2"/>
  <c r="AI142" i="2"/>
  <c r="AJ142" i="2" s="1"/>
  <c r="AI143" i="2"/>
  <c r="AJ143" i="2"/>
  <c r="AI144" i="2"/>
  <c r="AJ144" i="2" s="1"/>
  <c r="AI145" i="2"/>
  <c r="AJ145" i="2" s="1"/>
  <c r="AI146" i="2"/>
  <c r="AJ146" i="2" s="1"/>
  <c r="AI147" i="2"/>
  <c r="AJ147" i="2" s="1"/>
  <c r="AI148" i="2"/>
  <c r="AJ148" i="2"/>
  <c r="AI149" i="2"/>
  <c r="AJ149" i="2" s="1"/>
  <c r="AI150" i="2"/>
  <c r="AJ150" i="2" s="1"/>
  <c r="AI151" i="2"/>
  <c r="AJ151" i="2"/>
  <c r="AI152" i="2"/>
  <c r="AJ152" i="2" s="1"/>
  <c r="AI153" i="2"/>
  <c r="AJ153" i="2"/>
  <c r="AI154" i="2"/>
  <c r="AJ154" i="2" s="1"/>
  <c r="AI155" i="2"/>
  <c r="AJ155" i="2" s="1"/>
  <c r="AI156" i="2"/>
  <c r="AJ156" i="2"/>
  <c r="AI157" i="2"/>
  <c r="AJ157" i="2" s="1"/>
  <c r="V79" i="2"/>
  <c r="V77" i="2"/>
  <c r="Z55" i="2"/>
  <c r="Z54" i="2"/>
  <c r="Z53" i="2"/>
  <c r="Z118" i="2" l="1"/>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58" i="2"/>
  <c r="R51" i="2"/>
  <c r="N57" i="2"/>
  <c r="N29" i="2" s="1"/>
  <c r="N56" i="2"/>
  <c r="N24" i="2" s="1"/>
  <c r="N55" i="2"/>
  <c r="N23" i="2" s="1"/>
  <c r="N54" i="2"/>
  <c r="N22" i="2" s="1"/>
  <c r="N53" i="2"/>
  <c r="N21" i="2" l="1"/>
  <c r="V74" i="2" l="1"/>
  <c r="V28" i="2" s="1"/>
  <c r="V68" i="2"/>
  <c r="V69" i="2" s="1"/>
  <c r="V71" i="2" s="1"/>
  <c r="V21" i="2"/>
  <c r="AA52" i="2"/>
  <c r="AA51" i="2"/>
  <c r="N50" i="2" s="1"/>
  <c r="V59" i="2"/>
  <c r="V58" i="2"/>
  <c r="V60" i="2" s="1"/>
  <c r="V50" i="2"/>
  <c r="V53" i="2" s="1"/>
  <c r="V55" i="2" s="1"/>
  <c r="V54" i="2" s="1"/>
  <c r="V49" i="2"/>
  <c r="V51" i="2" s="1"/>
  <c r="V52" i="2" s="1"/>
  <c r="R10" i="2"/>
  <c r="V25" i="2" s="1"/>
  <c r="R52" i="2"/>
  <c r="V70" i="2" l="1"/>
  <c r="R26" i="2"/>
  <c r="R23" i="2"/>
  <c r="V23" i="2" l="1"/>
  <c r="V73" i="2"/>
  <c r="V26" i="2" s="1"/>
  <c r="V72" i="2"/>
  <c r="V24" i="2" s="1"/>
  <c r="R57" i="2"/>
  <c r="R55" i="2"/>
  <c r="R50" i="2"/>
  <c r="N51" i="2"/>
  <c r="Z52" i="2"/>
  <c r="Z51" i="2"/>
  <c r="N49" i="2" s="1"/>
  <c r="V78" i="2" s="1"/>
  <c r="AY147" i="2" l="1"/>
  <c r="BA147" i="2" s="1"/>
  <c r="AY62" i="2"/>
  <c r="BA62" i="2" s="1"/>
  <c r="AY70" i="2"/>
  <c r="BA70" i="2" s="1"/>
  <c r="AY78" i="2"/>
  <c r="BA78" i="2" s="1"/>
  <c r="AY86" i="2"/>
  <c r="BA86" i="2" s="1"/>
  <c r="AY94" i="2"/>
  <c r="BA94" i="2" s="1"/>
  <c r="AY102" i="2"/>
  <c r="BA102" i="2" s="1"/>
  <c r="AY110" i="2"/>
  <c r="BA110" i="2" s="1"/>
  <c r="AY134" i="2"/>
  <c r="BA134" i="2" s="1"/>
  <c r="AY142" i="2"/>
  <c r="BA142" i="2" s="1"/>
  <c r="AY118" i="2"/>
  <c r="BA118" i="2" s="1"/>
  <c r="AY152" i="2"/>
  <c r="BA152" i="2" s="1"/>
  <c r="AY126" i="2"/>
  <c r="BA126" i="2" s="1"/>
  <c r="AY73" i="2"/>
  <c r="BA73" i="2" s="1"/>
  <c r="AY89" i="2"/>
  <c r="BA89" i="2" s="1"/>
  <c r="AY105" i="2"/>
  <c r="BA105" i="2" s="1"/>
  <c r="AY129" i="2"/>
  <c r="BA129" i="2" s="1"/>
  <c r="AY145" i="2"/>
  <c r="BA145" i="2" s="1"/>
  <c r="AY65" i="2"/>
  <c r="BA65" i="2" s="1"/>
  <c r="AY81" i="2"/>
  <c r="BA81" i="2" s="1"/>
  <c r="AY97" i="2"/>
  <c r="BA97" i="2" s="1"/>
  <c r="AY113" i="2"/>
  <c r="BA113" i="2" s="1"/>
  <c r="AY121" i="2"/>
  <c r="BA121" i="2" s="1"/>
  <c r="AY137" i="2"/>
  <c r="BA137" i="2" s="1"/>
  <c r="AY155" i="2"/>
  <c r="BA155" i="2" s="1"/>
  <c r="AY104" i="2"/>
  <c r="BA104" i="2" s="1"/>
  <c r="AY143" i="2"/>
  <c r="BA143" i="2" s="1"/>
  <c r="AY79" i="2"/>
  <c r="BA79" i="2" s="1"/>
  <c r="AY141" i="2"/>
  <c r="BA141" i="2" s="1"/>
  <c r="AY77" i="2"/>
  <c r="BA77" i="2" s="1"/>
  <c r="AY132" i="2"/>
  <c r="BA132" i="2" s="1"/>
  <c r="AY68" i="2"/>
  <c r="BA68" i="2" s="1"/>
  <c r="AY123" i="2"/>
  <c r="BA123" i="2" s="1"/>
  <c r="AY59" i="2"/>
  <c r="BA59" i="2" s="1"/>
  <c r="AY106" i="2"/>
  <c r="BA106" i="2" s="1"/>
  <c r="AY66" i="2"/>
  <c r="BA66" i="2" s="1"/>
  <c r="AY96" i="2"/>
  <c r="BA96" i="2" s="1"/>
  <c r="AY135" i="2"/>
  <c r="BA135" i="2" s="1"/>
  <c r="AY71" i="2"/>
  <c r="BA71" i="2" s="1"/>
  <c r="AY133" i="2"/>
  <c r="BA133" i="2" s="1"/>
  <c r="AY69" i="2"/>
  <c r="BA69" i="2" s="1"/>
  <c r="AY124" i="2"/>
  <c r="BA124" i="2" s="1"/>
  <c r="AY60" i="2"/>
  <c r="BA60" i="2" s="1"/>
  <c r="AY115" i="2"/>
  <c r="BA115" i="2" s="1"/>
  <c r="AY98" i="2"/>
  <c r="BA98" i="2" s="1"/>
  <c r="AY154" i="2"/>
  <c r="BA154" i="2" s="1"/>
  <c r="AY88" i="2"/>
  <c r="BA88" i="2" s="1"/>
  <c r="AY127" i="2"/>
  <c r="BA127" i="2" s="1"/>
  <c r="AY63" i="2"/>
  <c r="BA63" i="2" s="1"/>
  <c r="AY125" i="2"/>
  <c r="BA125" i="2" s="1"/>
  <c r="AY61" i="2"/>
  <c r="BA61" i="2" s="1"/>
  <c r="AY116" i="2"/>
  <c r="BA116" i="2" s="1"/>
  <c r="AY107" i="2"/>
  <c r="BA107" i="2" s="1"/>
  <c r="AY156" i="2"/>
  <c r="BA156" i="2" s="1"/>
  <c r="AY90" i="2"/>
  <c r="BA90" i="2" s="1"/>
  <c r="AY144" i="2"/>
  <c r="BA144" i="2" s="1"/>
  <c r="AY80" i="2"/>
  <c r="BA80" i="2" s="1"/>
  <c r="AY119" i="2"/>
  <c r="BA119" i="2" s="1"/>
  <c r="AY148" i="2"/>
  <c r="BA148" i="2" s="1"/>
  <c r="AY117" i="2"/>
  <c r="BA117" i="2" s="1"/>
  <c r="AY108" i="2"/>
  <c r="BA108" i="2" s="1"/>
  <c r="AY99" i="2"/>
  <c r="BA99" i="2" s="1"/>
  <c r="AY146" i="2"/>
  <c r="BA146" i="2" s="1"/>
  <c r="AY82" i="2"/>
  <c r="BA82" i="2" s="1"/>
  <c r="AY136" i="2"/>
  <c r="BA136" i="2" s="1"/>
  <c r="AY72" i="2"/>
  <c r="BA72" i="2" s="1"/>
  <c r="AY111" i="2"/>
  <c r="BA111" i="2" s="1"/>
  <c r="AY109" i="2"/>
  <c r="BA109" i="2" s="1"/>
  <c r="AY100" i="2"/>
  <c r="BA100" i="2" s="1"/>
  <c r="AY157" i="2"/>
  <c r="BA157" i="2" s="1"/>
  <c r="AY91" i="2"/>
  <c r="BA91" i="2" s="1"/>
  <c r="AY138" i="2"/>
  <c r="BA138" i="2" s="1"/>
  <c r="AY74" i="2"/>
  <c r="BA74" i="2" s="1"/>
  <c r="AY128" i="2"/>
  <c r="BA128" i="2" s="1"/>
  <c r="AY64" i="2"/>
  <c r="BA64" i="2" s="1"/>
  <c r="AY103" i="2"/>
  <c r="BA103" i="2" s="1"/>
  <c r="AY101" i="2"/>
  <c r="BA101" i="2" s="1"/>
  <c r="AY58" i="2"/>
  <c r="BA58" i="2" s="1"/>
  <c r="AY92" i="2"/>
  <c r="BA92" i="2" s="1"/>
  <c r="AY149" i="2"/>
  <c r="BA149" i="2" s="1"/>
  <c r="AY83" i="2"/>
  <c r="BA83" i="2" s="1"/>
  <c r="AY130" i="2"/>
  <c r="BA130" i="2" s="1"/>
  <c r="AY120" i="2"/>
  <c r="BA120" i="2" s="1"/>
  <c r="AY95" i="2"/>
  <c r="BA95" i="2" s="1"/>
  <c r="AY93" i="2"/>
  <c r="BA93" i="2" s="1"/>
  <c r="AY150" i="2"/>
  <c r="BA150" i="2" s="1"/>
  <c r="AY84" i="2"/>
  <c r="BA84" i="2" s="1"/>
  <c r="AY139" i="2"/>
  <c r="BA139" i="2" s="1"/>
  <c r="AY75" i="2"/>
  <c r="BA75" i="2" s="1"/>
  <c r="AY122" i="2"/>
  <c r="BA122" i="2" s="1"/>
  <c r="AY112" i="2"/>
  <c r="BA112" i="2" s="1"/>
  <c r="AY153" i="2"/>
  <c r="BA153" i="2" s="1"/>
  <c r="AY87" i="2"/>
  <c r="BA87" i="2" s="1"/>
  <c r="AY151" i="2"/>
  <c r="BA151" i="2" s="1"/>
  <c r="AY85" i="2"/>
  <c r="BA85" i="2" s="1"/>
  <c r="AY140" i="2"/>
  <c r="BA140" i="2" s="1"/>
  <c r="AY76" i="2"/>
  <c r="BA76" i="2" s="1"/>
  <c r="AY131" i="2"/>
  <c r="BA131" i="2" s="1"/>
  <c r="AY67" i="2"/>
  <c r="BA67" i="2" s="1"/>
  <c r="AY114" i="2"/>
  <c r="BA114" i="2" s="1"/>
  <c r="V80" i="2"/>
  <c r="V81" i="2" s="1"/>
  <c r="V82" i="2" s="1"/>
  <c r="N37" i="2" s="1"/>
  <c r="V86" i="2"/>
  <c r="V94" i="2" s="1"/>
  <c r="V85" i="2"/>
  <c r="V93" i="2" s="1"/>
  <c r="V83" i="2"/>
  <c r="V87" i="2" s="1"/>
  <c r="V84" i="2"/>
  <c r="V92" i="2" s="1"/>
  <c r="V61" i="2"/>
  <c r="V62" i="2" s="1"/>
  <c r="R8" i="2"/>
  <c r="V9" i="2"/>
  <c r="V57" i="2"/>
  <c r="V6" i="2" s="1"/>
  <c r="V56" i="2"/>
  <c r="N52" i="2"/>
  <c r="N20" i="2" s="1"/>
  <c r="N19" i="2"/>
  <c r="R28" i="2"/>
  <c r="R49" i="2"/>
  <c r="R4" i="2" s="1"/>
  <c r="R11" i="2"/>
  <c r="V16" i="2" s="1"/>
  <c r="AZ89" i="2" l="1"/>
  <c r="AZ147" i="2"/>
  <c r="BB147" i="2" s="1"/>
  <c r="BC147" i="2" s="1"/>
  <c r="BD147" i="2" s="1"/>
  <c r="AZ129" i="2"/>
  <c r="AZ145" i="2"/>
  <c r="BB145" i="2" s="1"/>
  <c r="AZ152" i="2"/>
  <c r="BB152" i="2" s="1"/>
  <c r="AZ104" i="2"/>
  <c r="BB104" i="2" s="1"/>
  <c r="BC104" i="2" s="1"/>
  <c r="BD104" i="2" s="1"/>
  <c r="AZ73" i="2"/>
  <c r="BB73" i="2" s="1"/>
  <c r="AZ142" i="2"/>
  <c r="AZ133" i="2"/>
  <c r="BB133" i="2" s="1"/>
  <c r="AZ110" i="2"/>
  <c r="BB110" i="2" s="1"/>
  <c r="AZ78" i="2"/>
  <c r="BB78" i="2" s="1"/>
  <c r="BC78" i="2" s="1"/>
  <c r="BD78" i="2" s="1"/>
  <c r="AZ62" i="2"/>
  <c r="BB62" i="2" s="1"/>
  <c r="AZ88" i="2"/>
  <c r="AZ143" i="2"/>
  <c r="BB143" i="2" s="1"/>
  <c r="AZ79" i="2"/>
  <c r="AZ117" i="2"/>
  <c r="BB117" i="2" s="1"/>
  <c r="AZ100" i="2"/>
  <c r="AZ155" i="2"/>
  <c r="AZ91" i="2"/>
  <c r="AZ114" i="2"/>
  <c r="AZ144" i="2"/>
  <c r="AZ80" i="2"/>
  <c r="AZ135" i="2"/>
  <c r="AZ71" i="2"/>
  <c r="AZ109" i="2"/>
  <c r="BB109" i="2" s="1"/>
  <c r="AZ156" i="2"/>
  <c r="BB156" i="2" s="1"/>
  <c r="AZ92" i="2"/>
  <c r="AZ83" i="2"/>
  <c r="AZ134" i="2"/>
  <c r="AZ70" i="2"/>
  <c r="BB70" i="2" s="1"/>
  <c r="AZ106" i="2"/>
  <c r="AZ153" i="2"/>
  <c r="BB153" i="2" s="1"/>
  <c r="AZ136" i="2"/>
  <c r="AZ72" i="2"/>
  <c r="BB129" i="2"/>
  <c r="AZ127" i="2"/>
  <c r="AZ63" i="2"/>
  <c r="AZ101" i="2"/>
  <c r="BB101" i="2" s="1"/>
  <c r="AZ148" i="2"/>
  <c r="BB148" i="2" s="1"/>
  <c r="AZ84" i="2"/>
  <c r="AZ139" i="2"/>
  <c r="AZ75" i="2"/>
  <c r="AZ126" i="2"/>
  <c r="AZ98" i="2"/>
  <c r="AZ137" i="2"/>
  <c r="AZ128" i="2"/>
  <c r="AZ64" i="2"/>
  <c r="AZ113" i="2"/>
  <c r="BB113" i="2" s="1"/>
  <c r="AZ119" i="2"/>
  <c r="AZ157" i="2"/>
  <c r="BB157" i="2" s="1"/>
  <c r="AZ93" i="2"/>
  <c r="BB93" i="2" s="1"/>
  <c r="AZ140" i="2"/>
  <c r="AZ76" i="2"/>
  <c r="AZ131" i="2"/>
  <c r="AZ67" i="2"/>
  <c r="AZ118" i="2"/>
  <c r="AZ154" i="2"/>
  <c r="AZ90" i="2"/>
  <c r="AZ121" i="2"/>
  <c r="BB121" i="2" s="1"/>
  <c r="AZ120" i="2"/>
  <c r="BB120" i="2" s="1"/>
  <c r="AZ97" i="2"/>
  <c r="AZ111" i="2"/>
  <c r="BB111" i="2" s="1"/>
  <c r="AZ149" i="2"/>
  <c r="BB149" i="2" s="1"/>
  <c r="AZ85" i="2"/>
  <c r="BB85" i="2" s="1"/>
  <c r="AZ132" i="2"/>
  <c r="BB132" i="2" s="1"/>
  <c r="AZ68" i="2"/>
  <c r="BB68" i="2" s="1"/>
  <c r="AZ123" i="2"/>
  <c r="AZ59" i="2"/>
  <c r="AZ146" i="2"/>
  <c r="AZ82" i="2"/>
  <c r="AZ105" i="2"/>
  <c r="AZ112" i="2"/>
  <c r="AZ81" i="2"/>
  <c r="AZ103" i="2"/>
  <c r="AZ141" i="2"/>
  <c r="BB141" i="2" s="1"/>
  <c r="AZ77" i="2"/>
  <c r="BB77" i="2" s="1"/>
  <c r="AZ124" i="2"/>
  <c r="AZ60" i="2"/>
  <c r="AZ115" i="2"/>
  <c r="AZ102" i="2"/>
  <c r="BB102" i="2" s="1"/>
  <c r="AZ138" i="2"/>
  <c r="AZ74" i="2"/>
  <c r="BB89" i="2"/>
  <c r="BC89" i="2" s="1"/>
  <c r="AZ95" i="2"/>
  <c r="BB95" i="2" s="1"/>
  <c r="AZ69" i="2"/>
  <c r="BB69" i="2" s="1"/>
  <c r="AZ116" i="2"/>
  <c r="AZ107" i="2"/>
  <c r="AZ94" i="2"/>
  <c r="BB94" i="2" s="1"/>
  <c r="AZ130" i="2"/>
  <c r="AZ66" i="2"/>
  <c r="AZ65" i="2"/>
  <c r="AZ96" i="2"/>
  <c r="AZ151" i="2"/>
  <c r="BB151" i="2" s="1"/>
  <c r="AZ87" i="2"/>
  <c r="AZ125" i="2"/>
  <c r="BB125" i="2" s="1"/>
  <c r="AZ61" i="2"/>
  <c r="BB61" i="2" s="1"/>
  <c r="AZ108" i="2"/>
  <c r="AZ99" i="2"/>
  <c r="AZ150" i="2"/>
  <c r="BB150" i="2" s="1"/>
  <c r="AZ86" i="2"/>
  <c r="BB86" i="2" s="1"/>
  <c r="AZ122" i="2"/>
  <c r="AZ58" i="2"/>
  <c r="V89" i="2"/>
  <c r="AQ70" i="2" s="1"/>
  <c r="AR70" i="2" s="1"/>
  <c r="AS70" i="2" s="1"/>
  <c r="AK142" i="2"/>
  <c r="AK150" i="2"/>
  <c r="AK76" i="2"/>
  <c r="AK92" i="2"/>
  <c r="AK100" i="2"/>
  <c r="AK84" i="2"/>
  <c r="AK60" i="2"/>
  <c r="AK69" i="2"/>
  <c r="AK70" i="2"/>
  <c r="AK77" i="2"/>
  <c r="AK124" i="2"/>
  <c r="AK132" i="2"/>
  <c r="AK116" i="2"/>
  <c r="AK68" i="2"/>
  <c r="AK148" i="2"/>
  <c r="AK126" i="2"/>
  <c r="AK156" i="2"/>
  <c r="AK134" i="2"/>
  <c r="AK137" i="2"/>
  <c r="AK106" i="2"/>
  <c r="AK103" i="2"/>
  <c r="AK119" i="2"/>
  <c r="AK109" i="2"/>
  <c r="AK147" i="2"/>
  <c r="AK154" i="2"/>
  <c r="AK146" i="2"/>
  <c r="AK72" i="2"/>
  <c r="AK136" i="2"/>
  <c r="AK139" i="2"/>
  <c r="AK112" i="2"/>
  <c r="AK78" i="2"/>
  <c r="AK81" i="2"/>
  <c r="AK73" i="2"/>
  <c r="AK130" i="2"/>
  <c r="AK121" i="2"/>
  <c r="AK102" i="2"/>
  <c r="AK86" i="2"/>
  <c r="AK66" i="2"/>
  <c r="AK105" i="2"/>
  <c r="AK87" i="2"/>
  <c r="AK83" i="2"/>
  <c r="AK98" i="2"/>
  <c r="AK71" i="2"/>
  <c r="AK63" i="2"/>
  <c r="AK99" i="2"/>
  <c r="AK93" i="2"/>
  <c r="AK131" i="2"/>
  <c r="AK85" i="2"/>
  <c r="AK74" i="2"/>
  <c r="AK58" i="2"/>
  <c r="AK97" i="2"/>
  <c r="AK65" i="2"/>
  <c r="AK79" i="2"/>
  <c r="AK88" i="2"/>
  <c r="AK64" i="2"/>
  <c r="AK144" i="2"/>
  <c r="AK152" i="2"/>
  <c r="AK135" i="2"/>
  <c r="AK157" i="2"/>
  <c r="AK133" i="2"/>
  <c r="AK149" i="2"/>
  <c r="AK89" i="2"/>
  <c r="AK117" i="2"/>
  <c r="AK91" i="2"/>
  <c r="AK128" i="2"/>
  <c r="AK153" i="2"/>
  <c r="AK82" i="2"/>
  <c r="AK115" i="2"/>
  <c r="AK120" i="2"/>
  <c r="AK145" i="2"/>
  <c r="AK151" i="2"/>
  <c r="AK90" i="2"/>
  <c r="AK75" i="2"/>
  <c r="AK129" i="2"/>
  <c r="AK140" i="2"/>
  <c r="AK141" i="2"/>
  <c r="AK114" i="2"/>
  <c r="AK96" i="2"/>
  <c r="AK61" i="2"/>
  <c r="AK125" i="2"/>
  <c r="AK127" i="2"/>
  <c r="AK143" i="2"/>
  <c r="AK107" i="2"/>
  <c r="AK108" i="2"/>
  <c r="AK80" i="2"/>
  <c r="AK118" i="2"/>
  <c r="AK67" i="2"/>
  <c r="AK101" i="2"/>
  <c r="AK123" i="2"/>
  <c r="AK59" i="2"/>
  <c r="AK95" i="2"/>
  <c r="AK62" i="2"/>
  <c r="AK122" i="2"/>
  <c r="AK110" i="2"/>
  <c r="AK113" i="2"/>
  <c r="AK111" i="2"/>
  <c r="AK104" i="2"/>
  <c r="AK138" i="2"/>
  <c r="AK94" i="2"/>
  <c r="AK155" i="2"/>
  <c r="AQ65" i="2"/>
  <c r="AR65" i="2" s="1"/>
  <c r="AS65" i="2" s="1"/>
  <c r="AQ104" i="2"/>
  <c r="V90" i="2"/>
  <c r="V88" i="2"/>
  <c r="V91" i="2"/>
  <c r="AB106" i="2"/>
  <c r="AB177" i="2"/>
  <c r="AB117" i="2"/>
  <c r="AB113" i="2"/>
  <c r="AB97" i="2"/>
  <c r="AB85" i="2"/>
  <c r="AB73" i="2"/>
  <c r="AB196" i="2"/>
  <c r="AB188" i="2"/>
  <c r="AB180" i="2"/>
  <c r="AB164" i="2"/>
  <c r="AB66" i="2"/>
  <c r="AB193" i="2"/>
  <c r="AB161" i="2"/>
  <c r="AB149" i="2"/>
  <c r="AB104" i="2"/>
  <c r="AB80" i="2"/>
  <c r="AB60" i="2"/>
  <c r="AB179" i="2"/>
  <c r="AB163" i="2"/>
  <c r="AB155" i="2"/>
  <c r="AB139" i="2"/>
  <c r="AB123" i="2"/>
  <c r="AB82" i="2"/>
  <c r="AB165" i="2"/>
  <c r="AB95" i="2"/>
  <c r="AB58" i="2"/>
  <c r="AB86" i="2"/>
  <c r="AB189" i="2"/>
  <c r="AB145" i="2"/>
  <c r="AB125" i="2"/>
  <c r="AB109" i="2"/>
  <c r="AB101" i="2"/>
  <c r="AB89" i="2"/>
  <c r="AB77" i="2"/>
  <c r="AB192" i="2"/>
  <c r="AB168" i="2"/>
  <c r="AB152" i="2"/>
  <c r="AB148" i="2"/>
  <c r="AB136" i="2"/>
  <c r="AB132" i="2"/>
  <c r="AB120" i="2"/>
  <c r="AB110" i="2"/>
  <c r="AB102" i="2"/>
  <c r="AB78" i="2"/>
  <c r="AB173" i="2"/>
  <c r="AB92" i="2"/>
  <c r="AB84" i="2"/>
  <c r="AB68" i="2"/>
  <c r="AB191" i="2"/>
  <c r="AB183" i="2"/>
  <c r="AB167" i="2"/>
  <c r="AB151" i="2"/>
  <c r="AB119" i="2"/>
  <c r="AB185" i="2"/>
  <c r="AB137" i="2"/>
  <c r="AB133" i="2"/>
  <c r="AB99" i="2"/>
  <c r="AB87" i="2"/>
  <c r="AB75" i="2"/>
  <c r="AB59" i="2"/>
  <c r="AB194" i="2"/>
  <c r="AB178" i="2"/>
  <c r="AB162" i="2"/>
  <c r="AB158" i="2"/>
  <c r="AB105" i="2"/>
  <c r="AB81" i="2"/>
  <c r="AB65" i="2"/>
  <c r="AB61" i="2"/>
  <c r="AB172" i="2"/>
  <c r="AB181" i="2"/>
  <c r="AB129" i="2"/>
  <c r="AB116" i="2"/>
  <c r="AB112" i="2"/>
  <c r="AB96" i="2"/>
  <c r="AB72" i="2"/>
  <c r="AB64" i="2"/>
  <c r="AB195" i="2"/>
  <c r="AB187" i="2"/>
  <c r="AB171" i="2"/>
  <c r="AB147" i="2"/>
  <c r="AB131" i="2"/>
  <c r="AB114" i="2"/>
  <c r="AB103" i="2"/>
  <c r="AB79" i="2"/>
  <c r="AB186" i="2"/>
  <c r="AB182" i="2"/>
  <c r="AB166" i="2"/>
  <c r="AB154" i="2"/>
  <c r="AB128" i="2"/>
  <c r="AB90" i="2"/>
  <c r="AB108" i="2"/>
  <c r="AB88" i="2"/>
  <c r="AB143" i="2"/>
  <c r="AB197" i="2"/>
  <c r="AB107" i="2"/>
  <c r="AB83" i="2"/>
  <c r="AB190" i="2"/>
  <c r="AB170" i="2"/>
  <c r="AB150" i="2"/>
  <c r="AB134" i="2"/>
  <c r="AB118" i="2"/>
  <c r="AB141" i="2"/>
  <c r="AB174" i="2"/>
  <c r="AB98" i="2"/>
  <c r="AB169" i="2"/>
  <c r="AB93" i="2"/>
  <c r="AB69" i="2"/>
  <c r="AB144" i="2"/>
  <c r="AB124" i="2"/>
  <c r="AB159" i="2"/>
  <c r="AB135" i="2"/>
  <c r="AB121" i="2"/>
  <c r="AB71" i="2"/>
  <c r="AB63" i="2"/>
  <c r="AB146" i="2"/>
  <c r="AB130" i="2"/>
  <c r="AB156" i="2"/>
  <c r="AB70" i="2"/>
  <c r="AB91" i="2"/>
  <c r="AB122" i="2"/>
  <c r="AB74" i="2"/>
  <c r="AB157" i="2"/>
  <c r="AB184" i="2"/>
  <c r="AB160" i="2"/>
  <c r="AB140" i="2"/>
  <c r="AB100" i="2"/>
  <c r="AB76" i="2"/>
  <c r="AB175" i="2"/>
  <c r="AB94" i="2"/>
  <c r="AB153" i="2"/>
  <c r="AB115" i="2"/>
  <c r="AB67" i="2"/>
  <c r="AB142" i="2"/>
  <c r="AB126" i="2"/>
  <c r="AB62" i="2"/>
  <c r="AB176" i="2"/>
  <c r="AB127" i="2"/>
  <c r="AB111" i="2"/>
  <c r="AB138" i="2"/>
  <c r="AA59" i="2"/>
  <c r="AA67" i="2"/>
  <c r="AA68" i="2"/>
  <c r="AA69" i="2"/>
  <c r="AA70" i="2"/>
  <c r="AA71" i="2"/>
  <c r="AA72" i="2"/>
  <c r="AA73" i="2"/>
  <c r="AA74" i="2"/>
  <c r="AA75" i="2"/>
  <c r="AA76" i="2"/>
  <c r="AA77" i="2"/>
  <c r="AA78" i="2"/>
  <c r="AA79" i="2"/>
  <c r="AA80" i="2"/>
  <c r="AA81" i="2"/>
  <c r="AA82" i="2"/>
  <c r="AA83" i="2"/>
  <c r="AA84" i="2"/>
  <c r="AA109" i="2"/>
  <c r="AA115" i="2"/>
  <c r="AA122" i="2"/>
  <c r="AA123" i="2"/>
  <c r="AA130" i="2"/>
  <c r="AA131" i="2"/>
  <c r="AA60" i="2"/>
  <c r="AA61" i="2"/>
  <c r="AA62" i="2"/>
  <c r="AA85" i="2"/>
  <c r="AA86" i="2"/>
  <c r="AA87" i="2"/>
  <c r="AA88" i="2"/>
  <c r="AA89" i="2"/>
  <c r="AA90" i="2"/>
  <c r="AA110" i="2"/>
  <c r="AA111" i="2"/>
  <c r="AA116" i="2"/>
  <c r="AA117" i="2"/>
  <c r="AA124" i="2"/>
  <c r="AA125" i="2"/>
  <c r="AA132" i="2"/>
  <c r="AA133" i="2"/>
  <c r="AA63" i="2"/>
  <c r="AA64" i="2"/>
  <c r="AA91" i="2"/>
  <c r="AA92" i="2"/>
  <c r="AA93" i="2"/>
  <c r="AA94" i="2"/>
  <c r="AA95" i="2"/>
  <c r="AA96" i="2"/>
  <c r="AA97" i="2"/>
  <c r="AA98" i="2"/>
  <c r="AA99" i="2"/>
  <c r="AA100" i="2"/>
  <c r="AA101" i="2"/>
  <c r="AA102" i="2"/>
  <c r="AA103" i="2"/>
  <c r="AA104" i="2"/>
  <c r="AA105" i="2"/>
  <c r="AA106" i="2"/>
  <c r="AA107" i="2"/>
  <c r="AA112" i="2"/>
  <c r="AA113" i="2"/>
  <c r="AA118" i="2"/>
  <c r="AA119" i="2"/>
  <c r="AA126" i="2"/>
  <c r="AA127" i="2"/>
  <c r="AA134" i="2"/>
  <c r="AA120" i="2"/>
  <c r="AA138" i="2"/>
  <c r="AA139" i="2"/>
  <c r="AA146" i="2"/>
  <c r="AA147" i="2"/>
  <c r="AA154" i="2"/>
  <c r="AA155" i="2"/>
  <c r="AA161" i="2"/>
  <c r="AA165" i="2"/>
  <c r="AA169" i="2"/>
  <c r="AA173" i="2"/>
  <c r="AA177" i="2"/>
  <c r="AA181" i="2"/>
  <c r="AA114" i="2"/>
  <c r="AA121" i="2"/>
  <c r="AA128" i="2"/>
  <c r="AA135" i="2"/>
  <c r="AA137" i="2"/>
  <c r="AA140" i="2"/>
  <c r="AA141" i="2"/>
  <c r="AA148" i="2"/>
  <c r="AA149" i="2"/>
  <c r="AA156" i="2"/>
  <c r="AA157" i="2"/>
  <c r="AA162" i="2"/>
  <c r="AA166" i="2"/>
  <c r="AA170" i="2"/>
  <c r="AA174" i="2"/>
  <c r="AA178" i="2"/>
  <c r="AA182" i="2"/>
  <c r="AA186" i="2"/>
  <c r="AA190" i="2"/>
  <c r="AA65" i="2"/>
  <c r="AA108" i="2"/>
  <c r="AA129" i="2"/>
  <c r="AA142" i="2"/>
  <c r="AA143" i="2"/>
  <c r="AA150" i="2"/>
  <c r="AA151" i="2"/>
  <c r="AA158" i="2"/>
  <c r="AA159" i="2"/>
  <c r="AA163" i="2"/>
  <c r="AA167" i="2"/>
  <c r="AA171" i="2"/>
  <c r="AA175" i="2"/>
  <c r="AA179" i="2"/>
  <c r="AA183" i="2"/>
  <c r="AA187" i="2"/>
  <c r="AA136" i="2"/>
  <c r="AA144" i="2"/>
  <c r="AA168" i="2"/>
  <c r="AA185" i="2"/>
  <c r="AA192" i="2"/>
  <c r="AA196" i="2"/>
  <c r="AA58" i="2"/>
  <c r="AA153" i="2"/>
  <c r="AA160" i="2"/>
  <c r="AA194" i="2"/>
  <c r="AA164" i="2"/>
  <c r="AA180" i="2"/>
  <c r="AA188" i="2"/>
  <c r="AA191" i="2"/>
  <c r="AA66" i="2"/>
  <c r="AA145" i="2"/>
  <c r="AA152" i="2"/>
  <c r="AA172" i="2"/>
  <c r="AA184" i="2"/>
  <c r="AA193" i="2"/>
  <c r="AA197" i="2"/>
  <c r="AA176" i="2"/>
  <c r="AA189" i="2"/>
  <c r="AA195" i="2"/>
  <c r="V12" i="2"/>
  <c r="V65" i="2"/>
  <c r="V63" i="2"/>
  <c r="V13" i="2" s="1"/>
  <c r="N27" i="2"/>
  <c r="N28" i="2"/>
  <c r="N26" i="2"/>
  <c r="N25" i="2"/>
  <c r="R12" i="2"/>
  <c r="R54" i="2"/>
  <c r="R53" i="2"/>
  <c r="V18" i="2" s="1"/>
  <c r="V64" i="2"/>
  <c r="V14" i="2" s="1"/>
  <c r="R56" i="2"/>
  <c r="R19" i="2"/>
  <c r="R13" i="2"/>
  <c r="V5" i="2"/>
  <c r="V7" i="2"/>
  <c r="AQ97" i="2" l="1"/>
  <c r="AR97" i="2" s="1"/>
  <c r="AS97" i="2" s="1"/>
  <c r="AQ127" i="2"/>
  <c r="AQ114" i="2"/>
  <c r="AR114" i="2" s="1"/>
  <c r="AQ128" i="2"/>
  <c r="AQ88" i="2"/>
  <c r="AQ62" i="2"/>
  <c r="AR62" i="2" s="1"/>
  <c r="AS62" i="2" s="1"/>
  <c r="AQ86" i="2"/>
  <c r="AR86" i="2" s="1"/>
  <c r="AS86" i="2" s="1"/>
  <c r="AQ87" i="2"/>
  <c r="AR87" i="2" s="1"/>
  <c r="AS87" i="2" s="1"/>
  <c r="AQ154" i="2"/>
  <c r="AR154" i="2" s="1"/>
  <c r="AS154" i="2" s="1"/>
  <c r="AQ92" i="2"/>
  <c r="AR92" i="2" s="1"/>
  <c r="AS92" i="2" s="1"/>
  <c r="AQ74" i="2"/>
  <c r="AR74" i="2" s="1"/>
  <c r="AS74" i="2" s="1"/>
  <c r="AQ63" i="2"/>
  <c r="AQ79" i="2"/>
  <c r="AQ71" i="2"/>
  <c r="AQ109" i="2"/>
  <c r="AR109" i="2" s="1"/>
  <c r="AS109" i="2" s="1"/>
  <c r="AQ157" i="2"/>
  <c r="AR157" i="2" s="1"/>
  <c r="AS157" i="2" s="1"/>
  <c r="AQ69" i="2"/>
  <c r="AQ124" i="2"/>
  <c r="AR124" i="2" s="1"/>
  <c r="AS124" i="2" s="1"/>
  <c r="AQ78" i="2"/>
  <c r="AR78" i="2" s="1"/>
  <c r="AS78" i="2" s="1"/>
  <c r="AQ142" i="2"/>
  <c r="AR142" i="2" s="1"/>
  <c r="AS142" i="2" s="1"/>
  <c r="AQ122" i="2"/>
  <c r="AQ141" i="2"/>
  <c r="AQ105" i="2"/>
  <c r="AQ110" i="2"/>
  <c r="AR110" i="2" s="1"/>
  <c r="AS110" i="2" s="1"/>
  <c r="AQ145" i="2"/>
  <c r="AR145" i="2" s="1"/>
  <c r="AS145" i="2" s="1"/>
  <c r="AQ135" i="2"/>
  <c r="AR135" i="2" s="1"/>
  <c r="AS135" i="2" s="1"/>
  <c r="AQ80" i="2"/>
  <c r="AR80" i="2" s="1"/>
  <c r="AS80" i="2" s="1"/>
  <c r="AQ150" i="2"/>
  <c r="AR150" i="2" s="1"/>
  <c r="AS150" i="2" s="1"/>
  <c r="AQ119" i="2"/>
  <c r="AR119" i="2" s="1"/>
  <c r="AQ137" i="2"/>
  <c r="AR137" i="2" s="1"/>
  <c r="AS137" i="2" s="1"/>
  <c r="AQ155" i="2"/>
  <c r="AQ140" i="2"/>
  <c r="AR140" i="2" s="1"/>
  <c r="AS140" i="2" s="1"/>
  <c r="AQ118" i="2"/>
  <c r="AR118" i="2" s="1"/>
  <c r="AS118" i="2" s="1"/>
  <c r="AQ116" i="2"/>
  <c r="AR116" i="2" s="1"/>
  <c r="AS116" i="2" s="1"/>
  <c r="AQ100" i="2"/>
  <c r="AR100" i="2" s="1"/>
  <c r="AS100" i="2" s="1"/>
  <c r="AQ152" i="2"/>
  <c r="AQ93" i="2"/>
  <c r="AR93" i="2" s="1"/>
  <c r="AQ123" i="2"/>
  <c r="AQ139" i="2"/>
  <c r="AQ91" i="2"/>
  <c r="AR91" i="2" s="1"/>
  <c r="AS91" i="2" s="1"/>
  <c r="AQ76" i="2"/>
  <c r="AR76" i="2" s="1"/>
  <c r="AS76" i="2" s="1"/>
  <c r="AQ95" i="2"/>
  <c r="AR95" i="2" s="1"/>
  <c r="AQ149" i="2"/>
  <c r="AR149" i="2" s="1"/>
  <c r="BC73" i="2"/>
  <c r="BD73" i="2" s="1"/>
  <c r="BC110" i="2"/>
  <c r="BD110" i="2" s="1"/>
  <c r="BC62" i="2"/>
  <c r="BD62" i="2" s="1"/>
  <c r="BB142" i="2"/>
  <c r="BC142" i="2" s="1"/>
  <c r="BD142" i="2" s="1"/>
  <c r="AL152" i="2"/>
  <c r="AM152" i="2" s="1"/>
  <c r="BC133" i="2"/>
  <c r="BD133" i="2" s="1"/>
  <c r="BC125" i="2"/>
  <c r="BD125" i="2" s="1"/>
  <c r="BB107" i="2"/>
  <c r="BC107" i="2" s="1"/>
  <c r="BD107" i="2" s="1"/>
  <c r="BB60" i="2"/>
  <c r="BC60" i="2" s="1"/>
  <c r="BD60" i="2" s="1"/>
  <c r="BB82" i="2"/>
  <c r="BC82" i="2" s="1"/>
  <c r="BD82" i="2" s="1"/>
  <c r="BC85" i="2"/>
  <c r="BD85" i="2" s="1"/>
  <c r="BB118" i="2"/>
  <c r="BC118" i="2" s="1"/>
  <c r="BD118" i="2" s="1"/>
  <c r="BC113" i="2"/>
  <c r="BD113" i="2" s="1"/>
  <c r="BB75" i="2"/>
  <c r="BC75" i="2" s="1"/>
  <c r="BD75" i="2" s="1"/>
  <c r="BB92" i="2"/>
  <c r="BB144" i="2"/>
  <c r="BB155" i="2"/>
  <c r="BC155" i="2" s="1"/>
  <c r="BD155" i="2" s="1"/>
  <c r="BB58" i="2"/>
  <c r="BC58" i="2" s="1"/>
  <c r="BD58" i="2" s="1"/>
  <c r="BB87" i="2"/>
  <c r="BB116" i="2"/>
  <c r="BC116" i="2" s="1"/>
  <c r="BB124" i="2"/>
  <c r="BC124" i="2" s="1"/>
  <c r="BB146" i="2"/>
  <c r="BC146" i="2" s="1"/>
  <c r="BD146" i="2" s="1"/>
  <c r="BC149" i="2"/>
  <c r="BD149" i="2" s="1"/>
  <c r="BB67" i="2"/>
  <c r="BC67" i="2" s="1"/>
  <c r="BD67" i="2" s="1"/>
  <c r="BB64" i="2"/>
  <c r="BC64" i="2" s="1"/>
  <c r="BB139" i="2"/>
  <c r="BC139" i="2" s="1"/>
  <c r="BD139" i="2" s="1"/>
  <c r="BB72" i="2"/>
  <c r="BC72" i="2" s="1"/>
  <c r="BD72" i="2" s="1"/>
  <c r="BC156" i="2"/>
  <c r="BD156" i="2" s="1"/>
  <c r="BC148" i="2"/>
  <c r="BD148" i="2" s="1"/>
  <c r="BB100" i="2"/>
  <c r="BC100" i="2" s="1"/>
  <c r="BB122" i="2"/>
  <c r="BC122" i="2" s="1"/>
  <c r="BD122" i="2" s="1"/>
  <c r="BC151" i="2"/>
  <c r="BD151" i="2" s="1"/>
  <c r="BC69" i="2"/>
  <c r="BD69" i="2" s="1"/>
  <c r="BC77" i="2"/>
  <c r="BD77" i="2" s="1"/>
  <c r="BC111" i="2"/>
  <c r="BD111" i="2" s="1"/>
  <c r="BB131" i="2"/>
  <c r="BC131" i="2" s="1"/>
  <c r="BD131" i="2" s="1"/>
  <c r="BB128" i="2"/>
  <c r="BC128" i="2" s="1"/>
  <c r="BD128" i="2" s="1"/>
  <c r="BB84" i="2"/>
  <c r="BC84" i="2" s="1"/>
  <c r="BB136" i="2"/>
  <c r="BC136" i="2" s="1"/>
  <c r="BD136" i="2" s="1"/>
  <c r="BC109" i="2"/>
  <c r="BD109" i="2" s="1"/>
  <c r="BB114" i="2"/>
  <c r="BC114" i="2" s="1"/>
  <c r="BD114" i="2" s="1"/>
  <c r="BC117" i="2"/>
  <c r="BD117" i="2" s="1"/>
  <c r="BC86" i="2"/>
  <c r="BD86" i="2" s="1"/>
  <c r="BB96" i="2"/>
  <c r="BC96" i="2" s="1"/>
  <c r="BD96" i="2" s="1"/>
  <c r="BD89" i="2"/>
  <c r="BC141" i="2"/>
  <c r="BD141" i="2" s="1"/>
  <c r="BB97" i="2"/>
  <c r="BC97" i="2" s="1"/>
  <c r="BD97" i="2" s="1"/>
  <c r="BB76" i="2"/>
  <c r="BC76" i="2" s="1"/>
  <c r="BD76" i="2" s="1"/>
  <c r="BB137" i="2"/>
  <c r="BC153" i="2"/>
  <c r="BD153" i="2" s="1"/>
  <c r="BB71" i="2"/>
  <c r="BC71" i="2" s="1"/>
  <c r="BD71" i="2" s="1"/>
  <c r="BB79" i="2"/>
  <c r="BC79" i="2" s="1"/>
  <c r="BC150" i="2"/>
  <c r="BD150" i="2" s="1"/>
  <c r="BB65" i="2"/>
  <c r="BC65" i="2" s="1"/>
  <c r="BD65" i="2" s="1"/>
  <c r="BB74" i="2"/>
  <c r="BC74" i="2" s="1"/>
  <c r="BD74" i="2" s="1"/>
  <c r="BB103" i="2"/>
  <c r="BC103" i="2" s="1"/>
  <c r="BB59" i="2"/>
  <c r="BC59" i="2" s="1"/>
  <c r="BD59" i="2" s="1"/>
  <c r="BC120" i="2"/>
  <c r="BD120" i="2" s="1"/>
  <c r="BB140" i="2"/>
  <c r="BC140" i="2" s="1"/>
  <c r="BB98" i="2"/>
  <c r="BC98" i="2" s="1"/>
  <c r="BD98" i="2" s="1"/>
  <c r="BC101" i="2"/>
  <c r="BD101" i="2" s="1"/>
  <c r="BB106" i="2"/>
  <c r="BC106" i="2" s="1"/>
  <c r="BD106" i="2" s="1"/>
  <c r="BB135" i="2"/>
  <c r="BC135" i="2" s="1"/>
  <c r="BD135" i="2" s="1"/>
  <c r="BC143" i="2"/>
  <c r="BD143" i="2" s="1"/>
  <c r="BB99" i="2"/>
  <c r="BC99" i="2" s="1"/>
  <c r="BD99" i="2" s="1"/>
  <c r="BB66" i="2"/>
  <c r="BC66" i="2" s="1"/>
  <c r="BD66" i="2" s="1"/>
  <c r="BC95" i="2"/>
  <c r="BD95" i="2" s="1"/>
  <c r="BB138" i="2"/>
  <c r="BC138" i="2" s="1"/>
  <c r="BD138" i="2" s="1"/>
  <c r="BB81" i="2"/>
  <c r="BB123" i="2"/>
  <c r="BC123" i="2" s="1"/>
  <c r="BD123" i="2" s="1"/>
  <c r="BC121" i="2"/>
  <c r="BD121" i="2" s="1"/>
  <c r="BC93" i="2"/>
  <c r="BD93" i="2" s="1"/>
  <c r="BB63" i="2"/>
  <c r="BC63" i="2" s="1"/>
  <c r="BD63" i="2" s="1"/>
  <c r="BC70" i="2"/>
  <c r="BD70" i="2" s="1"/>
  <c r="BB88" i="2"/>
  <c r="BB108" i="2"/>
  <c r="BC108" i="2" s="1"/>
  <c r="BB130" i="2"/>
  <c r="BC130" i="2" s="1"/>
  <c r="BD130" i="2" s="1"/>
  <c r="BC102" i="2"/>
  <c r="BD102" i="2" s="1"/>
  <c r="BB112" i="2"/>
  <c r="BC112" i="2" s="1"/>
  <c r="BC68" i="2"/>
  <c r="BD68" i="2" s="1"/>
  <c r="BB90" i="2"/>
  <c r="BC90" i="2" s="1"/>
  <c r="BD90" i="2" s="1"/>
  <c r="BC157" i="2"/>
  <c r="BD157" i="2" s="1"/>
  <c r="BB127" i="2"/>
  <c r="BC127" i="2" s="1"/>
  <c r="BD127" i="2" s="1"/>
  <c r="BB134" i="2"/>
  <c r="BC134" i="2" s="1"/>
  <c r="BD134" i="2" s="1"/>
  <c r="BC145" i="2"/>
  <c r="BD145" i="2" s="1"/>
  <c r="BC61" i="2"/>
  <c r="BD61" i="2" s="1"/>
  <c r="BC94" i="2"/>
  <c r="BD94" i="2" s="1"/>
  <c r="BB115" i="2"/>
  <c r="BC115" i="2" s="1"/>
  <c r="BB105" i="2"/>
  <c r="BC105" i="2" s="1"/>
  <c r="BD105" i="2" s="1"/>
  <c r="BC132" i="2"/>
  <c r="BD132" i="2" s="1"/>
  <c r="BB154" i="2"/>
  <c r="BC154" i="2" s="1"/>
  <c r="BD154" i="2" s="1"/>
  <c r="BB119" i="2"/>
  <c r="BC119" i="2" s="1"/>
  <c r="BD119" i="2" s="1"/>
  <c r="BB126" i="2"/>
  <c r="BC126" i="2" s="1"/>
  <c r="BC129" i="2"/>
  <c r="BD129" i="2" s="1"/>
  <c r="BB83" i="2"/>
  <c r="BC83" i="2" s="1"/>
  <c r="BD83" i="2" s="1"/>
  <c r="BB80" i="2"/>
  <c r="BC80" i="2" s="1"/>
  <c r="BB91" i="2"/>
  <c r="BC91" i="2" s="1"/>
  <c r="BC152" i="2"/>
  <c r="BD152" i="2" s="1"/>
  <c r="AL67" i="2"/>
  <c r="AM67" i="2" s="1"/>
  <c r="AL110" i="2"/>
  <c r="AM110" i="2" s="1"/>
  <c r="AL131" i="2"/>
  <c r="AM131" i="2" s="1"/>
  <c r="AL114" i="2"/>
  <c r="AL140" i="2"/>
  <c r="AM140" i="2" s="1"/>
  <c r="AL133" i="2"/>
  <c r="AM133" i="2" s="1"/>
  <c r="AL150" i="2"/>
  <c r="AM150" i="2" s="1"/>
  <c r="AL74" i="2"/>
  <c r="AM74" i="2" s="1"/>
  <c r="AL83" i="2"/>
  <c r="AM83" i="2" s="1"/>
  <c r="AL91" i="2"/>
  <c r="AM91" i="2" s="1"/>
  <c r="AL126" i="2"/>
  <c r="AM126" i="2" s="1"/>
  <c r="AQ99" i="2"/>
  <c r="AR99" i="2" s="1"/>
  <c r="AS99" i="2" s="1"/>
  <c r="AQ136" i="2"/>
  <c r="AR136" i="2" s="1"/>
  <c r="AS136" i="2" s="1"/>
  <c r="AQ75" i="2"/>
  <c r="AR75" i="2" s="1"/>
  <c r="AS75" i="2" s="1"/>
  <c r="AQ131" i="2"/>
  <c r="AR131" i="2" s="1"/>
  <c r="AS131" i="2" s="1"/>
  <c r="AQ103" i="2"/>
  <c r="AR103" i="2" s="1"/>
  <c r="AS103" i="2" s="1"/>
  <c r="AQ84" i="2"/>
  <c r="AR84" i="2" s="1"/>
  <c r="AS84" i="2" s="1"/>
  <c r="AQ113" i="2"/>
  <c r="AR113" i="2" s="1"/>
  <c r="AS113" i="2" s="1"/>
  <c r="AQ132" i="2"/>
  <c r="AR132" i="2" s="1"/>
  <c r="AS132" i="2" s="1"/>
  <c r="AQ146" i="2"/>
  <c r="AR146" i="2" s="1"/>
  <c r="AQ138" i="2"/>
  <c r="AR138" i="2" s="1"/>
  <c r="AS138" i="2" s="1"/>
  <c r="AQ60" i="2"/>
  <c r="AR60" i="2" s="1"/>
  <c r="AS60" i="2" s="1"/>
  <c r="AL142" i="2"/>
  <c r="AM142" i="2" s="1"/>
  <c r="AQ111" i="2"/>
  <c r="AR111" i="2" s="1"/>
  <c r="AS111" i="2" s="1"/>
  <c r="AQ108" i="2"/>
  <c r="AR108" i="2" s="1"/>
  <c r="AS108" i="2" s="1"/>
  <c r="AQ59" i="2"/>
  <c r="AR59" i="2" s="1"/>
  <c r="AQ147" i="2"/>
  <c r="AR147" i="2" s="1"/>
  <c r="AS147" i="2" s="1"/>
  <c r="AQ90" i="2"/>
  <c r="AR90" i="2" s="1"/>
  <c r="AQ72" i="2"/>
  <c r="AR72" i="2" s="1"/>
  <c r="AS72" i="2" s="1"/>
  <c r="AQ130" i="2"/>
  <c r="AR130" i="2" s="1"/>
  <c r="AS130" i="2" s="1"/>
  <c r="AQ148" i="2"/>
  <c r="AR148" i="2" s="1"/>
  <c r="AS148" i="2" s="1"/>
  <c r="AQ144" i="2"/>
  <c r="AR144" i="2" s="1"/>
  <c r="AS144" i="2" s="1"/>
  <c r="AQ98" i="2"/>
  <c r="AR98" i="2" s="1"/>
  <c r="AS98" i="2" s="1"/>
  <c r="AQ153" i="2"/>
  <c r="AR153" i="2" s="1"/>
  <c r="AS153" i="2" s="1"/>
  <c r="AQ143" i="2"/>
  <c r="AR143" i="2" s="1"/>
  <c r="AS143" i="2" s="1"/>
  <c r="AQ133" i="2"/>
  <c r="AR133" i="2" s="1"/>
  <c r="AS133" i="2" s="1"/>
  <c r="AL136" i="2"/>
  <c r="AM136" i="2" s="1"/>
  <c r="AQ117" i="2"/>
  <c r="AR117" i="2" s="1"/>
  <c r="AS117" i="2" s="1"/>
  <c r="AQ129" i="2"/>
  <c r="AR129" i="2" s="1"/>
  <c r="AS129" i="2" s="1"/>
  <c r="AQ115" i="2"/>
  <c r="AR115" i="2" s="1"/>
  <c r="AQ67" i="2"/>
  <c r="AR67" i="2" s="1"/>
  <c r="AQ112" i="2"/>
  <c r="AR112" i="2" s="1"/>
  <c r="AS112" i="2" s="1"/>
  <c r="AQ64" i="2"/>
  <c r="AR64" i="2" s="1"/>
  <c r="AS64" i="2" s="1"/>
  <c r="AQ107" i="2"/>
  <c r="AR107" i="2" s="1"/>
  <c r="AS107" i="2" s="1"/>
  <c r="AQ120" i="2"/>
  <c r="AR120" i="2" s="1"/>
  <c r="AS120" i="2" s="1"/>
  <c r="AQ96" i="2"/>
  <c r="AR96" i="2" s="1"/>
  <c r="AS96" i="2" s="1"/>
  <c r="AQ125" i="2"/>
  <c r="AR125" i="2" s="1"/>
  <c r="AS125" i="2" s="1"/>
  <c r="AQ66" i="2"/>
  <c r="AR66" i="2" s="1"/>
  <c r="AS66" i="2" s="1"/>
  <c r="AQ85" i="2"/>
  <c r="AR85" i="2" s="1"/>
  <c r="AQ121" i="2"/>
  <c r="AR121" i="2" s="1"/>
  <c r="AS121" i="2" s="1"/>
  <c r="AQ106" i="2"/>
  <c r="AR106" i="2" s="1"/>
  <c r="AS106" i="2" s="1"/>
  <c r="AQ89" i="2"/>
  <c r="AR89" i="2" s="1"/>
  <c r="AS89" i="2" s="1"/>
  <c r="AL128" i="2"/>
  <c r="AM128" i="2" s="1"/>
  <c r="AL151" i="2"/>
  <c r="AM151" i="2" s="1"/>
  <c r="AQ82" i="2"/>
  <c r="AR82" i="2" s="1"/>
  <c r="AS82" i="2" s="1"/>
  <c r="AQ77" i="2"/>
  <c r="AR77" i="2" s="1"/>
  <c r="AS77" i="2" s="1"/>
  <c r="AQ94" i="2"/>
  <c r="AR94" i="2" s="1"/>
  <c r="AS94" i="2" s="1"/>
  <c r="AQ81" i="2"/>
  <c r="AR81" i="2" s="1"/>
  <c r="AS81" i="2" s="1"/>
  <c r="AQ134" i="2"/>
  <c r="AR134" i="2" s="1"/>
  <c r="AS134" i="2" s="1"/>
  <c r="AQ101" i="2"/>
  <c r="AR101" i="2" s="1"/>
  <c r="AS101" i="2" s="1"/>
  <c r="AQ83" i="2"/>
  <c r="AR83" i="2" s="1"/>
  <c r="AS83" i="2" s="1"/>
  <c r="AQ126" i="2"/>
  <c r="AR126" i="2" s="1"/>
  <c r="AS126" i="2" s="1"/>
  <c r="AQ61" i="2"/>
  <c r="AR61" i="2" s="1"/>
  <c r="AS61" i="2" s="1"/>
  <c r="AQ102" i="2"/>
  <c r="AR102" i="2" s="1"/>
  <c r="AS102" i="2" s="1"/>
  <c r="AQ58" i="2"/>
  <c r="AR58" i="2" s="1"/>
  <c r="AS58" i="2" s="1"/>
  <c r="AQ151" i="2"/>
  <c r="AR151" i="2" s="1"/>
  <c r="AQ73" i="2"/>
  <c r="AR73" i="2" s="1"/>
  <c r="AS73" i="2" s="1"/>
  <c r="AQ156" i="2"/>
  <c r="AR156" i="2" s="1"/>
  <c r="AS156" i="2" s="1"/>
  <c r="AQ68" i="2"/>
  <c r="AR68" i="2" s="1"/>
  <c r="AS68" i="2" s="1"/>
  <c r="AL123" i="2"/>
  <c r="AM123" i="2" s="1"/>
  <c r="AR69" i="2"/>
  <c r="AS69" i="2" s="1"/>
  <c r="AL112" i="2"/>
  <c r="AM112" i="2" s="1"/>
  <c r="AL61" i="2"/>
  <c r="AM61" i="2" s="1"/>
  <c r="AL120" i="2"/>
  <c r="AM120" i="2" s="1"/>
  <c r="AL75" i="2"/>
  <c r="AM75" i="2" s="1"/>
  <c r="AL104" i="2"/>
  <c r="AM104" i="2" s="1"/>
  <c r="AL70" i="2"/>
  <c r="AM70" i="2" s="1"/>
  <c r="AL82" i="2"/>
  <c r="AM82" i="2" s="1"/>
  <c r="AL103" i="2"/>
  <c r="AM103" i="2" s="1"/>
  <c r="AL78" i="2"/>
  <c r="AM78" i="2" s="1"/>
  <c r="AL106" i="2"/>
  <c r="AM106" i="2" s="1"/>
  <c r="AL58" i="2"/>
  <c r="AM58" i="2" s="1"/>
  <c r="AL156" i="2"/>
  <c r="AM156" i="2" s="1"/>
  <c r="AL124" i="2"/>
  <c r="AM124" i="2" s="1"/>
  <c r="AL73" i="2"/>
  <c r="AM73" i="2" s="1"/>
  <c r="AR123" i="2"/>
  <c r="AS123" i="2" s="1"/>
  <c r="AS119" i="2"/>
  <c r="AL145" i="2"/>
  <c r="AM145" i="2" s="1"/>
  <c r="AL65" i="2"/>
  <c r="AM65" i="2" s="1"/>
  <c r="AL119" i="2"/>
  <c r="AM119" i="2" s="1"/>
  <c r="AL141" i="2"/>
  <c r="AM141" i="2" s="1"/>
  <c r="AL118" i="2"/>
  <c r="AM118" i="2" s="1"/>
  <c r="AL77" i="2"/>
  <c r="AM77" i="2" s="1"/>
  <c r="AL105" i="2"/>
  <c r="AM105" i="2" s="1"/>
  <c r="AL111" i="2"/>
  <c r="AM111" i="2" s="1"/>
  <c r="AL135" i="2"/>
  <c r="AM135" i="2" s="1"/>
  <c r="AL64" i="2"/>
  <c r="AM64" i="2" s="1"/>
  <c r="AL130" i="2"/>
  <c r="AM130" i="2" s="1"/>
  <c r="AL99" i="2"/>
  <c r="AM99" i="2" s="1"/>
  <c r="AL98" i="2"/>
  <c r="AM98" i="2" s="1"/>
  <c r="AL66" i="2"/>
  <c r="AM66" i="2" s="1"/>
  <c r="AL94" i="2"/>
  <c r="AM94" i="2" s="1"/>
  <c r="AL143" i="2"/>
  <c r="AM143" i="2" s="1"/>
  <c r="AL109" i="2"/>
  <c r="AM109" i="2" s="1"/>
  <c r="AL138" i="2"/>
  <c r="AM138" i="2" s="1"/>
  <c r="AL148" i="2"/>
  <c r="AM148" i="2" s="1"/>
  <c r="AL84" i="2"/>
  <c r="AM84" i="2" s="1"/>
  <c r="AR63" i="2"/>
  <c r="AS63" i="2" s="1"/>
  <c r="AR104" i="2"/>
  <c r="AS104" i="2" s="1"/>
  <c r="AR88" i="2"/>
  <c r="AS88" i="2" s="1"/>
  <c r="AR155" i="2"/>
  <c r="AS155" i="2" s="1"/>
  <c r="AR71" i="2"/>
  <c r="AS71" i="2" s="1"/>
  <c r="AR127" i="2"/>
  <c r="AS127" i="2" s="1"/>
  <c r="AL59" i="2"/>
  <c r="AM59" i="2" s="1"/>
  <c r="AL88" i="2"/>
  <c r="AM88" i="2" s="1"/>
  <c r="AL139" i="2"/>
  <c r="AM139" i="2" s="1"/>
  <c r="AL107" i="2"/>
  <c r="AM107" i="2" s="1"/>
  <c r="AL115" i="2"/>
  <c r="AM115" i="2" s="1"/>
  <c r="AL155" i="2"/>
  <c r="AM155" i="2" s="1"/>
  <c r="AL102" i="2"/>
  <c r="AM102" i="2" s="1"/>
  <c r="AL129" i="2"/>
  <c r="AM129" i="2" s="1"/>
  <c r="AL134" i="2"/>
  <c r="AM134" i="2" s="1"/>
  <c r="AL86" i="2"/>
  <c r="AM86" i="2" s="1"/>
  <c r="AL68" i="2"/>
  <c r="AM68" i="2" s="1"/>
  <c r="AL97" i="2"/>
  <c r="AM97" i="2" s="1"/>
  <c r="AL100" i="2"/>
  <c r="AM100" i="2" s="1"/>
  <c r="AL93" i="2"/>
  <c r="AM93" i="2" s="1"/>
  <c r="AL121" i="2"/>
  <c r="AM121" i="2" s="1"/>
  <c r="AL89" i="2"/>
  <c r="AM89" i="2" s="1"/>
  <c r="AL92" i="2"/>
  <c r="AM92" i="2" s="1"/>
  <c r="AN86" i="2"/>
  <c r="AN138" i="2"/>
  <c r="AO138" i="2" s="1"/>
  <c r="AN154" i="2"/>
  <c r="AO154" i="2" s="1"/>
  <c r="AP154" i="2" s="1"/>
  <c r="AN125" i="2"/>
  <c r="AO125" i="2" s="1"/>
  <c r="AN67" i="2"/>
  <c r="AN76" i="2"/>
  <c r="AO76" i="2" s="1"/>
  <c r="AP76" i="2" s="1"/>
  <c r="AN97" i="2"/>
  <c r="AO97" i="2" s="1"/>
  <c r="AP97" i="2" s="1"/>
  <c r="AN103" i="2"/>
  <c r="AO103" i="2" s="1"/>
  <c r="AP103" i="2" s="1"/>
  <c r="AN106" i="2"/>
  <c r="AN124" i="2"/>
  <c r="AO124" i="2" s="1"/>
  <c r="AN73" i="2"/>
  <c r="AO73" i="2" s="1"/>
  <c r="AP73" i="2" s="1"/>
  <c r="AN82" i="2"/>
  <c r="AN92" i="2"/>
  <c r="AO92" i="2" s="1"/>
  <c r="AP92" i="2" s="1"/>
  <c r="AN113" i="2"/>
  <c r="AO113" i="2" s="1"/>
  <c r="AP113" i="2" s="1"/>
  <c r="AN127" i="2"/>
  <c r="AO127" i="2" s="1"/>
  <c r="AP127" i="2" s="1"/>
  <c r="AN134" i="2"/>
  <c r="AN140" i="2"/>
  <c r="AO140" i="2" s="1"/>
  <c r="AP140" i="2" s="1"/>
  <c r="AN58" i="2"/>
  <c r="AO58" i="2" s="1"/>
  <c r="AP58" i="2" s="1"/>
  <c r="AN66" i="2"/>
  <c r="AN100" i="2"/>
  <c r="AO100" i="2" s="1"/>
  <c r="AP100" i="2" s="1"/>
  <c r="AN69" i="2"/>
  <c r="AN105" i="2"/>
  <c r="AO105" i="2" s="1"/>
  <c r="AP105" i="2" s="1"/>
  <c r="AN119" i="2"/>
  <c r="AO119" i="2" s="1"/>
  <c r="AP119" i="2" s="1"/>
  <c r="AN78" i="2"/>
  <c r="AN93" i="2"/>
  <c r="AN148" i="2"/>
  <c r="AO148" i="2" s="1"/>
  <c r="AP148" i="2" s="1"/>
  <c r="AN77" i="2"/>
  <c r="AO77" i="2" s="1"/>
  <c r="AP77" i="2" s="1"/>
  <c r="AN95" i="2"/>
  <c r="AO95" i="2" s="1"/>
  <c r="AP95" i="2" s="1"/>
  <c r="AN121" i="2"/>
  <c r="AN130" i="2"/>
  <c r="AN137" i="2"/>
  <c r="AO137" i="2" s="1"/>
  <c r="AP137" i="2" s="1"/>
  <c r="AN141" i="2"/>
  <c r="AN153" i="2"/>
  <c r="AO153" i="2" s="1"/>
  <c r="AP153" i="2" s="1"/>
  <c r="AN132" i="2"/>
  <c r="AO132" i="2" s="1"/>
  <c r="AP132" i="2" s="1"/>
  <c r="AN157" i="2"/>
  <c r="AN60" i="2"/>
  <c r="AO60" i="2" s="1"/>
  <c r="AP60" i="2" s="1"/>
  <c r="AN74" i="2"/>
  <c r="AN84" i="2"/>
  <c r="AO84" i="2" s="1"/>
  <c r="AP84" i="2" s="1"/>
  <c r="AN116" i="2"/>
  <c r="AN150" i="2"/>
  <c r="AN109" i="2"/>
  <c r="AO109" i="2" s="1"/>
  <c r="AP109" i="2" s="1"/>
  <c r="AN151" i="2"/>
  <c r="AO151" i="2" s="1"/>
  <c r="AP151" i="2" s="1"/>
  <c r="AN68" i="2"/>
  <c r="AO68" i="2" s="1"/>
  <c r="AP68" i="2" s="1"/>
  <c r="AN89" i="2"/>
  <c r="AO89" i="2" s="1"/>
  <c r="AP89" i="2" s="1"/>
  <c r="AN123" i="2"/>
  <c r="AN133" i="2"/>
  <c r="AO133" i="2" s="1"/>
  <c r="AP133" i="2" s="1"/>
  <c r="AN85" i="2"/>
  <c r="AO85" i="2" s="1"/>
  <c r="AN149" i="2"/>
  <c r="AN72" i="2"/>
  <c r="AN143" i="2"/>
  <c r="AO143" i="2" s="1"/>
  <c r="AP143" i="2" s="1"/>
  <c r="AN156" i="2"/>
  <c r="AO156" i="2" s="1"/>
  <c r="AP156" i="2" s="1"/>
  <c r="AN81" i="2"/>
  <c r="AO81" i="2" s="1"/>
  <c r="AP81" i="2" s="1"/>
  <c r="AN129" i="2"/>
  <c r="AO129" i="2" s="1"/>
  <c r="AP129" i="2" s="1"/>
  <c r="AN145" i="2"/>
  <c r="AO145" i="2" s="1"/>
  <c r="AP145" i="2" s="1"/>
  <c r="AN117" i="2"/>
  <c r="AN65" i="2"/>
  <c r="AO65" i="2" s="1"/>
  <c r="AP65" i="2" s="1"/>
  <c r="AN87" i="2"/>
  <c r="AO87" i="2" s="1"/>
  <c r="AP87" i="2" s="1"/>
  <c r="AN115" i="2"/>
  <c r="AN101" i="2"/>
  <c r="AN75" i="2"/>
  <c r="AO69" i="2"/>
  <c r="AP69" i="2" s="1"/>
  <c r="AN63" i="2"/>
  <c r="AO63" i="2" s="1"/>
  <c r="AP63" i="2" s="1"/>
  <c r="AN155" i="2"/>
  <c r="AN104" i="2"/>
  <c r="AO104" i="2" s="1"/>
  <c r="AP104" i="2" s="1"/>
  <c r="AN61" i="2"/>
  <c r="AO61" i="2" s="1"/>
  <c r="AP61" i="2" s="1"/>
  <c r="AN79" i="2"/>
  <c r="AO79" i="2" s="1"/>
  <c r="AP79" i="2" s="1"/>
  <c r="AN146" i="2"/>
  <c r="AN90" i="2"/>
  <c r="AN135" i="2"/>
  <c r="AO135" i="2" s="1"/>
  <c r="AP135" i="2" s="1"/>
  <c r="AN112" i="2"/>
  <c r="AO112" i="2" s="1"/>
  <c r="AP112" i="2" s="1"/>
  <c r="AN107" i="2"/>
  <c r="AN142" i="2"/>
  <c r="AN126" i="2"/>
  <c r="AN70" i="2"/>
  <c r="AN96" i="2"/>
  <c r="AN152" i="2"/>
  <c r="AN88" i="2"/>
  <c r="AN94" i="2"/>
  <c r="AN114" i="2"/>
  <c r="AN144" i="2"/>
  <c r="AN102" i="2"/>
  <c r="AN91" i="2"/>
  <c r="AN98" i="2"/>
  <c r="AN139" i="2"/>
  <c r="AN120" i="2"/>
  <c r="AO120" i="2" s="1"/>
  <c r="AP120" i="2" s="1"/>
  <c r="AN122" i="2"/>
  <c r="AN64" i="2"/>
  <c r="AO64" i="2" s="1"/>
  <c r="AP64" i="2" s="1"/>
  <c r="AN111" i="2"/>
  <c r="AO111" i="2" s="1"/>
  <c r="AP111" i="2" s="1"/>
  <c r="AN59" i="2"/>
  <c r="AN83" i="2"/>
  <c r="AN108" i="2"/>
  <c r="AO108" i="2" s="1"/>
  <c r="AP108" i="2" s="1"/>
  <c r="AN131" i="2"/>
  <c r="AO121" i="2"/>
  <c r="AP121" i="2" s="1"/>
  <c r="AN99" i="2"/>
  <c r="AN71" i="2"/>
  <c r="AO71" i="2" s="1"/>
  <c r="AP71" i="2" s="1"/>
  <c r="AN80" i="2"/>
  <c r="AN118" i="2"/>
  <c r="AO118" i="2" s="1"/>
  <c r="AP118" i="2" s="1"/>
  <c r="AN136" i="2"/>
  <c r="AO136" i="2" s="1"/>
  <c r="AP136" i="2" s="1"/>
  <c r="AN110" i="2"/>
  <c r="AN128" i="2"/>
  <c r="AN62" i="2"/>
  <c r="AN147" i="2"/>
  <c r="AR141" i="2"/>
  <c r="AS141" i="2" s="1"/>
  <c r="AT100" i="2"/>
  <c r="AT144" i="2"/>
  <c r="AT61" i="2"/>
  <c r="AT109" i="2"/>
  <c r="AT116" i="2"/>
  <c r="AT119" i="2"/>
  <c r="AU119" i="2" s="1"/>
  <c r="AT125" i="2"/>
  <c r="AT141" i="2"/>
  <c r="AT148" i="2"/>
  <c r="AT155" i="2"/>
  <c r="AU155" i="2" s="1"/>
  <c r="AV155" i="2" s="1"/>
  <c r="AT58" i="2"/>
  <c r="AU58" i="2" s="1"/>
  <c r="AV58" i="2" s="1"/>
  <c r="AT76" i="2"/>
  <c r="AU76" i="2" s="1"/>
  <c r="AV76" i="2" s="1"/>
  <c r="AT97" i="2"/>
  <c r="AU97" i="2" s="1"/>
  <c r="AV97" i="2" s="1"/>
  <c r="AT103" i="2"/>
  <c r="AU103" i="2" s="1"/>
  <c r="AT129" i="2"/>
  <c r="AU129" i="2" s="1"/>
  <c r="AV129" i="2" s="1"/>
  <c r="AT73" i="2"/>
  <c r="AU73" i="2" s="1"/>
  <c r="AV73" i="2" s="1"/>
  <c r="AT113" i="2"/>
  <c r="AU113" i="2" s="1"/>
  <c r="AV113" i="2" s="1"/>
  <c r="AT77" i="2"/>
  <c r="AT85" i="2"/>
  <c r="AT147" i="2"/>
  <c r="AU147" i="2" s="1"/>
  <c r="AV147" i="2" s="1"/>
  <c r="AT153" i="2"/>
  <c r="AU153" i="2" s="1"/>
  <c r="AV153" i="2" s="1"/>
  <c r="AT121" i="2"/>
  <c r="AU121" i="2" s="1"/>
  <c r="AV121" i="2" s="1"/>
  <c r="AT60" i="2"/>
  <c r="AT65" i="2"/>
  <c r="AU65" i="2" s="1"/>
  <c r="AV65" i="2" s="1"/>
  <c r="AT68" i="2"/>
  <c r="AU68" i="2" s="1"/>
  <c r="AT117" i="2"/>
  <c r="AT156" i="2"/>
  <c r="AT59" i="2"/>
  <c r="AU59" i="2" s="1"/>
  <c r="AV59" i="2" s="1"/>
  <c r="AT82" i="2"/>
  <c r="AU82" i="2" s="1"/>
  <c r="AV82" i="2" s="1"/>
  <c r="AT92" i="2"/>
  <c r="AU92" i="2" s="1"/>
  <c r="AT104" i="2"/>
  <c r="AU104" i="2" s="1"/>
  <c r="AV104" i="2" s="1"/>
  <c r="AT106" i="2"/>
  <c r="AU106" i="2" s="1"/>
  <c r="AV106" i="2" s="1"/>
  <c r="AT118" i="2"/>
  <c r="AU118" i="2" s="1"/>
  <c r="AT124" i="2"/>
  <c r="AU124" i="2" s="1"/>
  <c r="AT127" i="2"/>
  <c r="AU127" i="2" s="1"/>
  <c r="AT143" i="2"/>
  <c r="AT149" i="2"/>
  <c r="AT137" i="2"/>
  <c r="AU137" i="2" s="1"/>
  <c r="AV137" i="2" s="1"/>
  <c r="AT66" i="2"/>
  <c r="AU66" i="2" s="1"/>
  <c r="AV66" i="2" s="1"/>
  <c r="AT95" i="2"/>
  <c r="AT132" i="2"/>
  <c r="AU132" i="2" s="1"/>
  <c r="AV132" i="2" s="1"/>
  <c r="AT69" i="2"/>
  <c r="AT105" i="2"/>
  <c r="AU105" i="2" s="1"/>
  <c r="AV105" i="2" s="1"/>
  <c r="AT151" i="2"/>
  <c r="AU151" i="2" s="1"/>
  <c r="AV151" i="2" s="1"/>
  <c r="AT74" i="2"/>
  <c r="AU74" i="2" s="1"/>
  <c r="AV74" i="2" s="1"/>
  <c r="AT81" i="2"/>
  <c r="AU81" i="2" s="1"/>
  <c r="AV81" i="2" s="1"/>
  <c r="AT84" i="2"/>
  <c r="AT102" i="2"/>
  <c r="AU102" i="2" s="1"/>
  <c r="AV102" i="2" s="1"/>
  <c r="AT89" i="2"/>
  <c r="AU89" i="2" s="1"/>
  <c r="AV89" i="2" s="1"/>
  <c r="AT138" i="2"/>
  <c r="AT133" i="2"/>
  <c r="AT93" i="2"/>
  <c r="AT111" i="2"/>
  <c r="AU111" i="2" s="1"/>
  <c r="AV111" i="2" s="1"/>
  <c r="AT126" i="2"/>
  <c r="AT157" i="2"/>
  <c r="AT145" i="2"/>
  <c r="AU145" i="2" s="1"/>
  <c r="AV145" i="2" s="1"/>
  <c r="AT83" i="2"/>
  <c r="AU83" i="2" s="1"/>
  <c r="AV83" i="2" s="1"/>
  <c r="AT99" i="2"/>
  <c r="AU99" i="2" s="1"/>
  <c r="AV99" i="2" s="1"/>
  <c r="AT75" i="2"/>
  <c r="AU75" i="2" s="1"/>
  <c r="AV75" i="2" s="1"/>
  <c r="AT130" i="2"/>
  <c r="AU130" i="2" s="1"/>
  <c r="AV130" i="2" s="1"/>
  <c r="AT131" i="2"/>
  <c r="AU131" i="2" s="1"/>
  <c r="AV131" i="2" s="1"/>
  <c r="AT122" i="2"/>
  <c r="AU122" i="2" s="1"/>
  <c r="AV122" i="2" s="1"/>
  <c r="AT136" i="2"/>
  <c r="AU136" i="2" s="1"/>
  <c r="AT120" i="2"/>
  <c r="AT134" i="2"/>
  <c r="AU134" i="2" s="1"/>
  <c r="AV134" i="2" s="1"/>
  <c r="AT146" i="2"/>
  <c r="AU146" i="2" s="1"/>
  <c r="AV146" i="2" s="1"/>
  <c r="AT87" i="2"/>
  <c r="AU87" i="2" s="1"/>
  <c r="AV87" i="2" s="1"/>
  <c r="AT91" i="2"/>
  <c r="AU91" i="2" s="1"/>
  <c r="AV91" i="2" s="1"/>
  <c r="AT98" i="2"/>
  <c r="AU98" i="2" s="1"/>
  <c r="AV98" i="2" s="1"/>
  <c r="AT78" i="2"/>
  <c r="AU78" i="2" s="1"/>
  <c r="AV78" i="2" s="1"/>
  <c r="AT63" i="2"/>
  <c r="AU63" i="2" s="1"/>
  <c r="AV63" i="2" s="1"/>
  <c r="AT108" i="2"/>
  <c r="AT112" i="2"/>
  <c r="AT123" i="2"/>
  <c r="AU123" i="2" s="1"/>
  <c r="AV123" i="2" s="1"/>
  <c r="AT107" i="2"/>
  <c r="AU107" i="2" s="1"/>
  <c r="AV107" i="2" s="1"/>
  <c r="AT110" i="2"/>
  <c r="AU110" i="2" s="1"/>
  <c r="AT90" i="2"/>
  <c r="AU90" i="2" s="1"/>
  <c r="AV90" i="2" s="1"/>
  <c r="AT70" i="2"/>
  <c r="AU70" i="2" s="1"/>
  <c r="AV70" i="2" s="1"/>
  <c r="AT114" i="2"/>
  <c r="AU114" i="2" s="1"/>
  <c r="AV114" i="2" s="1"/>
  <c r="AT150" i="2"/>
  <c r="AU150" i="2" s="1"/>
  <c r="AV150" i="2" s="1"/>
  <c r="AT142" i="2"/>
  <c r="AU142" i="2" s="1"/>
  <c r="AV142" i="2" s="1"/>
  <c r="AT152" i="2"/>
  <c r="AT139" i="2"/>
  <c r="AU139" i="2" s="1"/>
  <c r="AV139" i="2" s="1"/>
  <c r="AT115" i="2"/>
  <c r="AU115" i="2" s="1"/>
  <c r="AV115" i="2" s="1"/>
  <c r="AT96" i="2"/>
  <c r="AT94" i="2"/>
  <c r="AU94" i="2" s="1"/>
  <c r="AV94" i="2" s="1"/>
  <c r="AT64" i="2"/>
  <c r="AT140" i="2"/>
  <c r="AU140" i="2" s="1"/>
  <c r="AV140" i="2" s="1"/>
  <c r="AT67" i="2"/>
  <c r="AU67" i="2" s="1"/>
  <c r="AV67" i="2" s="1"/>
  <c r="AT80" i="2"/>
  <c r="AU80" i="2" s="1"/>
  <c r="AT128" i="2"/>
  <c r="AT88" i="2"/>
  <c r="AT154" i="2"/>
  <c r="AU154" i="2" s="1"/>
  <c r="AV154" i="2" s="1"/>
  <c r="AT79" i="2"/>
  <c r="AU79" i="2" s="1"/>
  <c r="AT86" i="2"/>
  <c r="AU86" i="2" s="1"/>
  <c r="AV86" i="2" s="1"/>
  <c r="AT72" i="2"/>
  <c r="AT71" i="2"/>
  <c r="AU71" i="2" s="1"/>
  <c r="AT135" i="2"/>
  <c r="AU135" i="2" s="1"/>
  <c r="AV135" i="2" s="1"/>
  <c r="AT62" i="2"/>
  <c r="AU62" i="2" s="1"/>
  <c r="AV62" i="2" s="1"/>
  <c r="AT101" i="2"/>
  <c r="AR139" i="2"/>
  <c r="AS139" i="2" s="1"/>
  <c r="AR122" i="2"/>
  <c r="AS122" i="2" s="1"/>
  <c r="AR152" i="2"/>
  <c r="AS152" i="2" s="1"/>
  <c r="AL122" i="2"/>
  <c r="AM122" i="2" s="1"/>
  <c r="AL154" i="2"/>
  <c r="AM154" i="2" s="1"/>
  <c r="AL71" i="2"/>
  <c r="AM71" i="2" s="1"/>
  <c r="AL108" i="2"/>
  <c r="AM108" i="2" s="1"/>
  <c r="AL147" i="2"/>
  <c r="AM147" i="2" s="1"/>
  <c r="AL62" i="2"/>
  <c r="AM62" i="2" s="1"/>
  <c r="AL157" i="2"/>
  <c r="AM157" i="2" s="1"/>
  <c r="AL153" i="2"/>
  <c r="AM153" i="2" s="1"/>
  <c r="AL116" i="2"/>
  <c r="AM116" i="2" s="1"/>
  <c r="AL81" i="2"/>
  <c r="AM81" i="2" s="1"/>
  <c r="AL76" i="2"/>
  <c r="AM76" i="2" s="1"/>
  <c r="AR105" i="2"/>
  <c r="AS105" i="2" s="1"/>
  <c r="AR128" i="2"/>
  <c r="AS128" i="2" s="1"/>
  <c r="AL72" i="2"/>
  <c r="AM72" i="2" s="1"/>
  <c r="AL87" i="2"/>
  <c r="AM87" i="2" s="1"/>
  <c r="AL90" i="2"/>
  <c r="AM90" i="2" s="1"/>
  <c r="AL80" i="2"/>
  <c r="AM80" i="2" s="1"/>
  <c r="AL63" i="2"/>
  <c r="AM63" i="2" s="1"/>
  <c r="AL95" i="2"/>
  <c r="AM95" i="2" s="1"/>
  <c r="AL137" i="2"/>
  <c r="AM137" i="2" s="1"/>
  <c r="AL113" i="2"/>
  <c r="AM113" i="2" s="1"/>
  <c r="AL69" i="2"/>
  <c r="AM69" i="2" s="1"/>
  <c r="AS114" i="2"/>
  <c r="AR79" i="2"/>
  <c r="AS79" i="2" s="1"/>
  <c r="AS93" i="2"/>
  <c r="AS95" i="2"/>
  <c r="AL96" i="2"/>
  <c r="AM96" i="2" s="1"/>
  <c r="AL144" i="2"/>
  <c r="AM144" i="2" s="1"/>
  <c r="AL146" i="2"/>
  <c r="AM146" i="2" s="1"/>
  <c r="AL79" i="2"/>
  <c r="AM79" i="2" s="1"/>
  <c r="AL101" i="2"/>
  <c r="AM101" i="2" s="1"/>
  <c r="AL117" i="2"/>
  <c r="AM117" i="2" s="1"/>
  <c r="AL127" i="2"/>
  <c r="AM127" i="2" s="1"/>
  <c r="AL85" i="2"/>
  <c r="AM85" i="2" s="1"/>
  <c r="AM114" i="2"/>
  <c r="AL149" i="2"/>
  <c r="AM149" i="2" s="1"/>
  <c r="AL125" i="2"/>
  <c r="AM125" i="2" s="1"/>
  <c r="AL132" i="2"/>
  <c r="AM132" i="2" s="1"/>
  <c r="AL60" i="2"/>
  <c r="AM60" i="2" s="1"/>
  <c r="V66" i="2"/>
  <c r="V67" i="2"/>
  <c r="R17" i="2"/>
  <c r="R25" i="2"/>
  <c r="R22" i="2"/>
  <c r="AS149" i="2" l="1"/>
  <c r="BD84" i="2"/>
  <c r="BD100" i="2"/>
  <c r="BD126" i="2"/>
  <c r="BD64" i="2"/>
  <c r="BD124" i="2"/>
  <c r="BD91" i="2"/>
  <c r="BC81" i="2"/>
  <c r="BD81" i="2" s="1"/>
  <c r="BD80" i="2"/>
  <c r="BD115" i="2"/>
  <c r="BD108" i="2"/>
  <c r="BD79" i="2"/>
  <c r="BC137" i="2"/>
  <c r="BD137" i="2" s="1"/>
  <c r="BD116" i="2"/>
  <c r="BC144" i="2"/>
  <c r="BD144" i="2" s="1"/>
  <c r="BD103" i="2"/>
  <c r="BD112" i="2"/>
  <c r="BC88" i="2"/>
  <c r="BD88" i="2" s="1"/>
  <c r="BC87" i="2"/>
  <c r="BD87" i="2" s="1"/>
  <c r="BC92" i="2"/>
  <c r="BD92" i="2" s="1"/>
  <c r="BD140" i="2"/>
  <c r="AS115" i="2"/>
  <c r="AS146" i="2"/>
  <c r="AS90" i="2"/>
  <c r="AS151" i="2"/>
  <c r="AS67" i="2"/>
  <c r="AS85" i="2"/>
  <c r="AS59" i="2"/>
  <c r="AV71" i="2"/>
  <c r="AU143" i="2"/>
  <c r="AV143" i="2" s="1"/>
  <c r="AO147" i="2"/>
  <c r="AP147" i="2" s="1"/>
  <c r="AU88" i="2"/>
  <c r="AV88" i="2" s="1"/>
  <c r="AV110" i="2"/>
  <c r="AU93" i="2"/>
  <c r="AV93" i="2" s="1"/>
  <c r="AU149" i="2"/>
  <c r="AV149" i="2" s="1"/>
  <c r="AU60" i="2"/>
  <c r="AV60" i="2" s="1"/>
  <c r="AU148" i="2"/>
  <c r="AV148" i="2" s="1"/>
  <c r="AO144" i="2"/>
  <c r="AP144" i="2" s="1"/>
  <c r="AO70" i="2"/>
  <c r="AP70" i="2" s="1"/>
  <c r="AO90" i="2"/>
  <c r="AP90" i="2" s="1"/>
  <c r="AO155" i="2"/>
  <c r="AP155" i="2" s="1"/>
  <c r="AO117" i="2"/>
  <c r="AP117" i="2" s="1"/>
  <c r="AO149" i="2"/>
  <c r="AP149" i="2" s="1"/>
  <c r="AO67" i="2"/>
  <c r="AP67" i="2" s="1"/>
  <c r="AP85" i="2"/>
  <c r="AO66" i="2"/>
  <c r="AP66" i="2" s="1"/>
  <c r="AU72" i="2"/>
  <c r="AV72" i="2" s="1"/>
  <c r="AU96" i="2"/>
  <c r="AV96" i="2" s="1"/>
  <c r="AV136" i="2"/>
  <c r="AU138" i="2"/>
  <c r="AV138" i="2" s="1"/>
  <c r="AU69" i="2"/>
  <c r="AV69" i="2" s="1"/>
  <c r="AV127" i="2"/>
  <c r="AU125" i="2"/>
  <c r="AV125" i="2" s="1"/>
  <c r="AU100" i="2"/>
  <c r="AV100" i="2" s="1"/>
  <c r="AO62" i="2"/>
  <c r="AP62" i="2" s="1"/>
  <c r="AO94" i="2"/>
  <c r="AP94" i="2" s="1"/>
  <c r="AO142" i="2"/>
  <c r="AP142" i="2" s="1"/>
  <c r="AO157" i="2"/>
  <c r="AP157" i="2" s="1"/>
  <c r="AO93" i="2"/>
  <c r="AP93" i="2" s="1"/>
  <c r="AU128" i="2"/>
  <c r="AV128" i="2" s="1"/>
  <c r="AU120" i="2"/>
  <c r="AV120" i="2" s="1"/>
  <c r="AU144" i="2"/>
  <c r="AV144" i="2" s="1"/>
  <c r="AO114" i="2"/>
  <c r="AP114" i="2" s="1"/>
  <c r="AO126" i="2"/>
  <c r="AP126" i="2" s="1"/>
  <c r="AU101" i="2"/>
  <c r="AV101" i="2" s="1"/>
  <c r="AV80" i="2"/>
  <c r="AV124" i="2"/>
  <c r="AU156" i="2"/>
  <c r="AV156" i="2" s="1"/>
  <c r="AV103" i="2"/>
  <c r="AV119" i="2"/>
  <c r="AO128" i="2"/>
  <c r="AP128" i="2" s="1"/>
  <c r="AO99" i="2"/>
  <c r="AP99" i="2" s="1"/>
  <c r="AO83" i="2"/>
  <c r="AP83" i="2" s="1"/>
  <c r="AO88" i="2"/>
  <c r="AP88" i="2" s="1"/>
  <c r="AO107" i="2"/>
  <c r="AP107" i="2" s="1"/>
  <c r="AO75" i="2"/>
  <c r="AP75" i="2" s="1"/>
  <c r="AO150" i="2"/>
  <c r="AP150" i="2" s="1"/>
  <c r="AO78" i="2"/>
  <c r="AP78" i="2" s="1"/>
  <c r="AP124" i="2"/>
  <c r="AP138" i="2"/>
  <c r="AO80" i="2"/>
  <c r="AP80" i="2" s="1"/>
  <c r="AU95" i="2"/>
  <c r="AV95" i="2" s="1"/>
  <c r="AV118" i="2"/>
  <c r="AU117" i="2"/>
  <c r="AV117" i="2" s="1"/>
  <c r="AU116" i="2"/>
  <c r="AV116" i="2" s="1"/>
  <c r="AO139" i="2"/>
  <c r="AP139" i="2" s="1"/>
  <c r="AO152" i="2"/>
  <c r="AP152" i="2" s="1"/>
  <c r="AO134" i="2"/>
  <c r="AP134" i="2" s="1"/>
  <c r="AU133" i="2"/>
  <c r="AV133" i="2" s="1"/>
  <c r="AU141" i="2"/>
  <c r="AV141" i="2" s="1"/>
  <c r="AO122" i="2"/>
  <c r="AP122" i="2" s="1"/>
  <c r="AO146" i="2"/>
  <c r="AP146" i="2" s="1"/>
  <c r="AO82" i="2"/>
  <c r="AP82" i="2" s="1"/>
  <c r="AU112" i="2"/>
  <c r="AV112" i="2" s="1"/>
  <c r="AU157" i="2"/>
  <c r="AV157" i="2" s="1"/>
  <c r="AU109" i="2"/>
  <c r="AV109" i="2" s="1"/>
  <c r="AO110" i="2"/>
  <c r="AP110" i="2" s="1"/>
  <c r="AO131" i="2"/>
  <c r="AP131" i="2" s="1"/>
  <c r="AO98" i="2"/>
  <c r="AP98" i="2" s="1"/>
  <c r="AO115" i="2"/>
  <c r="AP115" i="2" s="1"/>
  <c r="AO123" i="2"/>
  <c r="AP123" i="2" s="1"/>
  <c r="AO130" i="2"/>
  <c r="AP130" i="2" s="1"/>
  <c r="AO116" i="2"/>
  <c r="AP116" i="2" s="1"/>
  <c r="AP125" i="2"/>
  <c r="AV79" i="2"/>
  <c r="AU108" i="2"/>
  <c r="AV108" i="2" s="1"/>
  <c r="AU126" i="2"/>
  <c r="AV126" i="2" s="1"/>
  <c r="AV68" i="2"/>
  <c r="AU85" i="2"/>
  <c r="AV85" i="2" s="1"/>
  <c r="AU84" i="2"/>
  <c r="AV84" i="2" s="1"/>
  <c r="AO101" i="2"/>
  <c r="AP101" i="2" s="1"/>
  <c r="AO59" i="2"/>
  <c r="AP59" i="2" s="1"/>
  <c r="AO91" i="2"/>
  <c r="AP91" i="2" s="1"/>
  <c r="AO106" i="2"/>
  <c r="AP106" i="2" s="1"/>
  <c r="AO74" i="2"/>
  <c r="AP74" i="2" s="1"/>
  <c r="AO86" i="2"/>
  <c r="AP86" i="2" s="1"/>
  <c r="AU64" i="2"/>
  <c r="AV64" i="2" s="1"/>
  <c r="AU152" i="2"/>
  <c r="AV152" i="2" s="1"/>
  <c r="AV92" i="2"/>
  <c r="AU77" i="2"/>
  <c r="AV77" i="2" s="1"/>
  <c r="AU61" i="2"/>
  <c r="AV61" i="2" s="1"/>
  <c r="AO102" i="2"/>
  <c r="AP102" i="2" s="1"/>
  <c r="AO96" i="2"/>
  <c r="AP96" i="2" s="1"/>
  <c r="AO72" i="2"/>
  <c r="AP72" i="2" s="1"/>
  <c r="AO141" i="2"/>
  <c r="AP141" i="2" s="1"/>
  <c r="AC180" i="2"/>
  <c r="AE180" i="2" s="1"/>
  <c r="AC166" i="2"/>
  <c r="AE166" i="2" s="1"/>
  <c r="AC170" i="2"/>
  <c r="AE170" i="2" s="1"/>
  <c r="AC138" i="2"/>
  <c r="AE138" i="2" s="1"/>
  <c r="AC87" i="2"/>
  <c r="AE87" i="2" s="1"/>
  <c r="AC68" i="2"/>
  <c r="AE68" i="2" s="1"/>
  <c r="AC136" i="2"/>
  <c r="AE136" i="2" s="1"/>
  <c r="AC189" i="2"/>
  <c r="AE189" i="2" s="1"/>
  <c r="AC155" i="2"/>
  <c r="AE155" i="2" s="1"/>
  <c r="AC60" i="2"/>
  <c r="AE60" i="2" s="1"/>
  <c r="AC85" i="2"/>
  <c r="AE85" i="2" s="1"/>
  <c r="AC70" i="2"/>
  <c r="AE70" i="2" s="1"/>
  <c r="AC96" i="2"/>
  <c r="AE96" i="2" s="1"/>
  <c r="AC156" i="2"/>
  <c r="AE156" i="2" s="1"/>
  <c r="AC105" i="2"/>
  <c r="AE105" i="2" s="1"/>
  <c r="AD86" i="2"/>
  <c r="AF86" i="2" s="1"/>
  <c r="AD125" i="2"/>
  <c r="AF125" i="2" s="1"/>
  <c r="AD101" i="2"/>
  <c r="AF101" i="2" s="1"/>
  <c r="AD89" i="2"/>
  <c r="AF89" i="2" s="1"/>
  <c r="AD81" i="2"/>
  <c r="AF81" i="2" s="1"/>
  <c r="AD65" i="2"/>
  <c r="AF65" i="2" s="1"/>
  <c r="AD192" i="2"/>
  <c r="AF192" i="2" s="1"/>
  <c r="AD172" i="2"/>
  <c r="AF172" i="2" s="1"/>
  <c r="AD148" i="2"/>
  <c r="AF148" i="2" s="1"/>
  <c r="AD132" i="2"/>
  <c r="AF132" i="2" s="1"/>
  <c r="AD110" i="2"/>
  <c r="AF110" i="2" s="1"/>
  <c r="AD102" i="2"/>
  <c r="AF102" i="2" s="1"/>
  <c r="AD181" i="2"/>
  <c r="AF181" i="2" s="1"/>
  <c r="AD129" i="2"/>
  <c r="AF129" i="2" s="1"/>
  <c r="AD92" i="2"/>
  <c r="AF92" i="2" s="1"/>
  <c r="AD72" i="2"/>
  <c r="AF72" i="2" s="1"/>
  <c r="AD187" i="2"/>
  <c r="AF187" i="2" s="1"/>
  <c r="AD167" i="2"/>
  <c r="AF167" i="2" s="1"/>
  <c r="AD151" i="2"/>
  <c r="AF151" i="2" s="1"/>
  <c r="AD147" i="2"/>
  <c r="AF147" i="2" s="1"/>
  <c r="AD131" i="2"/>
  <c r="AF131" i="2" s="1"/>
  <c r="AD119" i="2"/>
  <c r="AF119" i="2" s="1"/>
  <c r="AD114" i="2"/>
  <c r="AF114" i="2" s="1"/>
  <c r="AD133" i="2"/>
  <c r="AF133" i="2" s="1"/>
  <c r="AD99" i="2"/>
  <c r="AF99" i="2" s="1"/>
  <c r="AD87" i="2"/>
  <c r="AF87" i="2" s="1"/>
  <c r="AD74" i="2"/>
  <c r="AF74" i="2" s="1"/>
  <c r="AD169" i="2"/>
  <c r="AF169" i="2" s="1"/>
  <c r="AD105" i="2"/>
  <c r="AF105" i="2" s="1"/>
  <c r="AD69" i="2"/>
  <c r="AF69" i="2" s="1"/>
  <c r="AD61" i="2"/>
  <c r="AF61" i="2" s="1"/>
  <c r="AD176" i="2"/>
  <c r="AF176" i="2" s="1"/>
  <c r="AD160" i="2"/>
  <c r="AF160" i="2" s="1"/>
  <c r="AD144" i="2"/>
  <c r="AF144" i="2" s="1"/>
  <c r="AD128" i="2"/>
  <c r="AF128" i="2" s="1"/>
  <c r="AD116" i="2"/>
  <c r="AF116" i="2" s="1"/>
  <c r="AD112" i="2"/>
  <c r="AF112" i="2" s="1"/>
  <c r="AD108" i="2"/>
  <c r="AF108" i="2" s="1"/>
  <c r="AD96" i="2"/>
  <c r="AF96" i="2" s="1"/>
  <c r="AD76" i="2"/>
  <c r="AF76" i="2" s="1"/>
  <c r="AD64" i="2"/>
  <c r="AF64" i="2" s="1"/>
  <c r="AD171" i="2"/>
  <c r="AF171" i="2" s="1"/>
  <c r="AD135" i="2"/>
  <c r="AF135" i="2" s="1"/>
  <c r="AD70" i="2"/>
  <c r="AF70" i="2" s="1"/>
  <c r="AD153" i="2"/>
  <c r="AF153" i="2" s="1"/>
  <c r="AD121" i="2"/>
  <c r="AF121" i="2" s="1"/>
  <c r="AD115" i="2"/>
  <c r="AF115" i="2" s="1"/>
  <c r="AD103" i="2"/>
  <c r="AF103" i="2" s="1"/>
  <c r="AD83" i="2"/>
  <c r="AF83" i="2" s="1"/>
  <c r="AD67" i="2"/>
  <c r="AF67" i="2" s="1"/>
  <c r="AD182" i="2"/>
  <c r="AF182" i="2" s="1"/>
  <c r="AD166" i="2"/>
  <c r="AF166" i="2" s="1"/>
  <c r="AD98" i="2"/>
  <c r="AF98" i="2" s="1"/>
  <c r="AD62" i="2"/>
  <c r="AF62" i="2" s="1"/>
  <c r="AD177" i="2"/>
  <c r="AF177" i="2" s="1"/>
  <c r="AD157" i="2"/>
  <c r="AF157" i="2" s="1"/>
  <c r="AD93" i="2"/>
  <c r="AF93" i="2" s="1"/>
  <c r="AD73" i="2"/>
  <c r="AF73" i="2" s="1"/>
  <c r="AD196" i="2"/>
  <c r="AF196" i="2" s="1"/>
  <c r="AD184" i="2"/>
  <c r="AF184" i="2" s="1"/>
  <c r="AD180" i="2"/>
  <c r="AF180" i="2" s="1"/>
  <c r="AD164" i="2"/>
  <c r="AF164" i="2" s="1"/>
  <c r="AD156" i="2"/>
  <c r="AF156" i="2" s="1"/>
  <c r="AD140" i="2"/>
  <c r="AF140" i="2" s="1"/>
  <c r="AD124" i="2"/>
  <c r="AF124" i="2" s="1"/>
  <c r="AD90" i="2"/>
  <c r="AF90" i="2" s="1"/>
  <c r="AD66" i="2"/>
  <c r="AF66" i="2" s="1"/>
  <c r="AD161" i="2"/>
  <c r="AF161" i="2" s="1"/>
  <c r="AD100" i="2"/>
  <c r="AF100" i="2" s="1"/>
  <c r="AD88" i="2"/>
  <c r="AF88" i="2" s="1"/>
  <c r="AD80" i="2"/>
  <c r="AF80" i="2" s="1"/>
  <c r="AD175" i="2"/>
  <c r="AF175" i="2" s="1"/>
  <c r="AD159" i="2"/>
  <c r="AF159" i="2" s="1"/>
  <c r="AD155" i="2"/>
  <c r="AF155" i="2" s="1"/>
  <c r="AD143" i="2"/>
  <c r="AF143" i="2" s="1"/>
  <c r="AD139" i="2"/>
  <c r="AF139" i="2" s="1"/>
  <c r="AD127" i="2"/>
  <c r="AF127" i="2" s="1"/>
  <c r="AD123" i="2"/>
  <c r="AF123" i="2" s="1"/>
  <c r="AD94" i="2"/>
  <c r="AF94" i="2" s="1"/>
  <c r="AD82" i="2"/>
  <c r="AF82" i="2" s="1"/>
  <c r="AD197" i="2"/>
  <c r="AF197" i="2" s="1"/>
  <c r="AD165" i="2"/>
  <c r="AF165" i="2" s="1"/>
  <c r="AD141" i="2"/>
  <c r="AF141" i="2" s="1"/>
  <c r="AD111" i="2"/>
  <c r="AF111" i="2" s="1"/>
  <c r="AD107" i="2"/>
  <c r="AF107" i="2" s="1"/>
  <c r="AD91" i="2"/>
  <c r="AF91" i="2" s="1"/>
  <c r="AD71" i="2"/>
  <c r="AF71" i="2" s="1"/>
  <c r="AD194" i="2"/>
  <c r="AF194" i="2" s="1"/>
  <c r="AD170" i="2"/>
  <c r="AF170" i="2" s="1"/>
  <c r="AD150" i="2"/>
  <c r="AF150" i="2" s="1"/>
  <c r="AD106" i="2"/>
  <c r="AF106" i="2" s="1"/>
  <c r="AD189" i="2"/>
  <c r="AF189" i="2" s="1"/>
  <c r="AD117" i="2"/>
  <c r="AF117" i="2" s="1"/>
  <c r="AD97" i="2"/>
  <c r="AF97" i="2" s="1"/>
  <c r="AD77" i="2"/>
  <c r="AF77" i="2" s="1"/>
  <c r="AD152" i="2"/>
  <c r="AF152" i="2" s="1"/>
  <c r="AD173" i="2"/>
  <c r="AF173" i="2" s="1"/>
  <c r="AD68" i="2"/>
  <c r="AF68" i="2" s="1"/>
  <c r="AD183" i="2"/>
  <c r="AF183" i="2" s="1"/>
  <c r="AD163" i="2"/>
  <c r="AF163" i="2" s="1"/>
  <c r="AD137" i="2"/>
  <c r="AF137" i="2" s="1"/>
  <c r="AD75" i="2"/>
  <c r="AF75" i="2" s="1"/>
  <c r="AD63" i="2"/>
  <c r="AF63" i="2" s="1"/>
  <c r="AD145" i="2"/>
  <c r="AF145" i="2" s="1"/>
  <c r="AD79" i="2"/>
  <c r="AF79" i="2" s="1"/>
  <c r="AD146" i="2"/>
  <c r="AF146" i="2" s="1"/>
  <c r="AD118" i="2"/>
  <c r="AF118" i="2" s="1"/>
  <c r="AD113" i="2"/>
  <c r="AF113" i="2" s="1"/>
  <c r="AD188" i="2"/>
  <c r="AF188" i="2" s="1"/>
  <c r="AD168" i="2"/>
  <c r="AF168" i="2" s="1"/>
  <c r="AD78" i="2"/>
  <c r="AF78" i="2" s="1"/>
  <c r="AD149" i="2"/>
  <c r="AF149" i="2" s="1"/>
  <c r="AD104" i="2"/>
  <c r="AF104" i="2" s="1"/>
  <c r="AD84" i="2"/>
  <c r="AF84" i="2" s="1"/>
  <c r="AD60" i="2"/>
  <c r="AF60" i="2" s="1"/>
  <c r="AD179" i="2"/>
  <c r="AF179" i="2" s="1"/>
  <c r="AD185" i="2"/>
  <c r="AF185" i="2" s="1"/>
  <c r="AD190" i="2"/>
  <c r="AF190" i="2" s="1"/>
  <c r="AD178" i="2"/>
  <c r="AF178" i="2" s="1"/>
  <c r="AD158" i="2"/>
  <c r="AF158" i="2" s="1"/>
  <c r="AD142" i="2"/>
  <c r="AF142" i="2" s="1"/>
  <c r="AD138" i="2"/>
  <c r="AF138" i="2" s="1"/>
  <c r="AD126" i="2"/>
  <c r="AF126" i="2" s="1"/>
  <c r="AD122" i="2"/>
  <c r="AF122" i="2" s="1"/>
  <c r="AD154" i="2"/>
  <c r="AF154" i="2" s="1"/>
  <c r="AD134" i="2"/>
  <c r="AF134" i="2" s="1"/>
  <c r="AD109" i="2"/>
  <c r="AF109" i="2" s="1"/>
  <c r="AD85" i="2"/>
  <c r="AF85" i="2" s="1"/>
  <c r="AD120" i="2"/>
  <c r="AF120" i="2" s="1"/>
  <c r="AD193" i="2"/>
  <c r="AF193" i="2" s="1"/>
  <c r="AD195" i="2"/>
  <c r="AF195" i="2" s="1"/>
  <c r="AD95" i="2"/>
  <c r="AF95" i="2" s="1"/>
  <c r="AD59" i="2"/>
  <c r="AF59" i="2" s="1"/>
  <c r="AD186" i="2"/>
  <c r="AF186" i="2" s="1"/>
  <c r="AD174" i="2"/>
  <c r="AF174" i="2" s="1"/>
  <c r="AD136" i="2"/>
  <c r="AF136" i="2" s="1"/>
  <c r="AD191" i="2"/>
  <c r="AF191" i="2" s="1"/>
  <c r="AD162" i="2"/>
  <c r="AF162" i="2" s="1"/>
  <c r="AD130" i="2"/>
  <c r="AF130" i="2" s="1"/>
  <c r="AC61" i="2"/>
  <c r="AE61" i="2" s="1"/>
  <c r="AC134" i="2"/>
  <c r="AE134" i="2" s="1"/>
  <c r="AC79" i="2"/>
  <c r="AE79" i="2" s="1"/>
  <c r="AC65" i="2"/>
  <c r="AE65" i="2" s="1"/>
  <c r="AC116" i="2"/>
  <c r="AE116" i="2" s="1"/>
  <c r="AC83" i="2"/>
  <c r="AE83" i="2" s="1"/>
  <c r="AC92" i="2"/>
  <c r="AE92" i="2" s="1"/>
  <c r="AC142" i="2"/>
  <c r="AE142" i="2" s="1"/>
  <c r="AC172" i="2"/>
  <c r="AE172" i="2" s="1"/>
  <c r="AC59" i="2"/>
  <c r="AE59" i="2" s="1"/>
  <c r="AC95" i="2"/>
  <c r="AE95" i="2" s="1"/>
  <c r="AC163" i="2"/>
  <c r="AE163" i="2" s="1"/>
  <c r="AC84" i="2"/>
  <c r="AE84" i="2" s="1"/>
  <c r="AC110" i="2"/>
  <c r="AE110" i="2" s="1"/>
  <c r="AC148" i="2"/>
  <c r="AE148" i="2" s="1"/>
  <c r="AC77" i="2"/>
  <c r="AE77" i="2" s="1"/>
  <c r="AC113" i="2"/>
  <c r="AE113" i="2" s="1"/>
  <c r="AC86" i="2"/>
  <c r="AE86" i="2" s="1"/>
  <c r="AC190" i="2"/>
  <c r="AE190" i="2" s="1"/>
  <c r="AC165" i="2"/>
  <c r="AE165" i="2" s="1"/>
  <c r="AC127" i="2"/>
  <c r="AE127" i="2" s="1"/>
  <c r="AC159" i="2"/>
  <c r="AE159" i="2" s="1"/>
  <c r="AC80" i="2"/>
  <c r="AE80" i="2" s="1"/>
  <c r="AC193" i="2"/>
  <c r="AE193" i="2" s="1"/>
  <c r="AC184" i="2"/>
  <c r="AE184" i="2" s="1"/>
  <c r="AC93" i="2"/>
  <c r="AE93" i="2" s="1"/>
  <c r="AC103" i="2"/>
  <c r="AE103" i="2" s="1"/>
  <c r="AC141" i="2"/>
  <c r="AE141" i="2" s="1"/>
  <c r="AC135" i="2"/>
  <c r="AE135" i="2" s="1"/>
  <c r="AC64" i="2"/>
  <c r="AE64" i="2" s="1"/>
  <c r="AC108" i="2"/>
  <c r="AE108" i="2" s="1"/>
  <c r="AC128" i="2"/>
  <c r="AE128" i="2" s="1"/>
  <c r="AC160" i="2"/>
  <c r="AE160" i="2" s="1"/>
  <c r="AC157" i="2"/>
  <c r="AE157" i="2" s="1"/>
  <c r="AC58" i="2"/>
  <c r="AE58" i="2" s="1"/>
  <c r="AC130" i="2"/>
  <c r="AE130" i="2" s="1"/>
  <c r="AC72" i="2"/>
  <c r="AE72" i="2" s="1"/>
  <c r="AC147" i="2"/>
  <c r="AE147" i="2" s="1"/>
  <c r="AC178" i="2"/>
  <c r="AE178" i="2" s="1"/>
  <c r="AC78" i="2"/>
  <c r="AE78" i="2" s="1"/>
  <c r="AC188" i="2"/>
  <c r="AE188" i="2" s="1"/>
  <c r="AC174" i="2"/>
  <c r="AE174" i="2" s="1"/>
  <c r="AC123" i="2"/>
  <c r="AE123" i="2" s="1"/>
  <c r="AC161" i="2"/>
  <c r="AE161" i="2" s="1"/>
  <c r="AC98" i="2"/>
  <c r="AE98" i="2" s="1"/>
  <c r="AC121" i="2"/>
  <c r="AE121" i="2" s="1"/>
  <c r="AC195" i="2"/>
  <c r="AE195" i="2" s="1"/>
  <c r="AC124" i="2"/>
  <c r="AE124" i="2" s="1"/>
  <c r="AC74" i="2"/>
  <c r="AE74" i="2" s="1"/>
  <c r="AC186" i="2"/>
  <c r="AE186" i="2" s="1"/>
  <c r="AC101" i="2"/>
  <c r="AE101" i="2" s="1"/>
  <c r="AC146" i="2"/>
  <c r="AE146" i="2" s="1"/>
  <c r="AC131" i="2"/>
  <c r="AE131" i="2" s="1"/>
  <c r="AC194" i="2"/>
  <c r="AE194" i="2" s="1"/>
  <c r="AC102" i="2"/>
  <c r="AE102" i="2" s="1"/>
  <c r="AC99" i="2"/>
  <c r="AE99" i="2" s="1"/>
  <c r="AC122" i="2"/>
  <c r="AE122" i="2" s="1"/>
  <c r="AC158" i="2"/>
  <c r="AE158" i="2" s="1"/>
  <c r="AC192" i="2"/>
  <c r="AE192" i="2" s="1"/>
  <c r="AC63" i="2"/>
  <c r="AE63" i="2" s="1"/>
  <c r="AC133" i="2"/>
  <c r="AE133" i="2" s="1"/>
  <c r="AC179" i="2"/>
  <c r="AE179" i="2" s="1"/>
  <c r="AC104" i="2"/>
  <c r="AE104" i="2" s="1"/>
  <c r="AC120" i="2"/>
  <c r="AE120" i="2" s="1"/>
  <c r="AC152" i="2"/>
  <c r="AE152" i="2" s="1"/>
  <c r="AC89" i="2"/>
  <c r="AE89" i="2" s="1"/>
  <c r="AC125" i="2"/>
  <c r="AE125" i="2" s="1"/>
  <c r="AC106" i="2"/>
  <c r="AE106" i="2" s="1"/>
  <c r="AC71" i="2"/>
  <c r="AE71" i="2" s="1"/>
  <c r="AC82" i="2"/>
  <c r="AE82" i="2" s="1"/>
  <c r="AC139" i="2"/>
  <c r="AE139" i="2" s="1"/>
  <c r="AC175" i="2"/>
  <c r="AE175" i="2" s="1"/>
  <c r="AC100" i="2"/>
  <c r="AE100" i="2" s="1"/>
  <c r="AC66" i="2"/>
  <c r="AE66" i="2" s="1"/>
  <c r="AC196" i="2"/>
  <c r="AE196" i="2" s="1"/>
  <c r="AC117" i="2"/>
  <c r="AE117" i="2" s="1"/>
  <c r="AC111" i="2"/>
  <c r="AE111" i="2" s="1"/>
  <c r="AC153" i="2"/>
  <c r="AE153" i="2" s="1"/>
  <c r="AC171" i="2"/>
  <c r="AE171" i="2" s="1"/>
  <c r="AC76" i="2"/>
  <c r="AE76" i="2" s="1"/>
  <c r="AC112" i="2"/>
  <c r="AE112" i="2" s="1"/>
  <c r="AC140" i="2"/>
  <c r="AE140" i="2" s="1"/>
  <c r="AC176" i="2"/>
  <c r="AE176" i="2" s="1"/>
  <c r="AC169" i="2"/>
  <c r="AE169" i="2" s="1"/>
  <c r="AC181" i="2"/>
  <c r="AE181" i="2" s="1"/>
  <c r="AC129" i="2"/>
  <c r="AE129" i="2" s="1"/>
  <c r="AC119" i="2"/>
  <c r="AE119" i="2" s="1"/>
  <c r="AC185" i="2"/>
  <c r="AE185" i="2" s="1"/>
  <c r="AC109" i="2"/>
  <c r="AE109" i="2" s="1"/>
  <c r="AC107" i="2"/>
  <c r="AE107" i="2" s="1"/>
  <c r="AC67" i="2"/>
  <c r="AE67" i="2" s="1"/>
  <c r="AC118" i="2"/>
  <c r="AE118" i="2" s="1"/>
  <c r="AC154" i="2"/>
  <c r="AE154" i="2" s="1"/>
  <c r="AC151" i="2"/>
  <c r="AE151" i="2" s="1"/>
  <c r="AC167" i="2"/>
  <c r="AE167" i="2" s="1"/>
  <c r="AC81" i="2"/>
  <c r="AE81" i="2" s="1"/>
  <c r="AC114" i="2"/>
  <c r="AE114" i="2" s="1"/>
  <c r="AC126" i="2"/>
  <c r="AE126" i="2" s="1"/>
  <c r="AC182" i="2"/>
  <c r="AE182" i="2" s="1"/>
  <c r="AC162" i="2"/>
  <c r="AE162" i="2" s="1"/>
  <c r="AC75" i="2"/>
  <c r="AE75" i="2" s="1"/>
  <c r="AC137" i="2"/>
  <c r="AE137" i="2" s="1"/>
  <c r="AC191" i="2"/>
  <c r="AE191" i="2" s="1"/>
  <c r="AC173" i="2"/>
  <c r="AE173" i="2" s="1"/>
  <c r="AC132" i="2"/>
  <c r="AE132" i="2" s="1"/>
  <c r="AC168" i="2"/>
  <c r="AE168" i="2" s="1"/>
  <c r="AC97" i="2"/>
  <c r="AE97" i="2" s="1"/>
  <c r="AC145" i="2"/>
  <c r="AE145" i="2" s="1"/>
  <c r="AC150" i="2"/>
  <c r="AE150" i="2" s="1"/>
  <c r="AC91" i="2"/>
  <c r="AE91" i="2" s="1"/>
  <c r="AC94" i="2"/>
  <c r="AE94" i="2" s="1"/>
  <c r="AC143" i="2"/>
  <c r="AE143" i="2" s="1"/>
  <c r="AC187" i="2"/>
  <c r="AE187" i="2" s="1"/>
  <c r="AC149" i="2"/>
  <c r="AE149" i="2" s="1"/>
  <c r="AC164" i="2"/>
  <c r="AE164" i="2" s="1"/>
  <c r="AC73" i="2"/>
  <c r="AE73" i="2" s="1"/>
  <c r="AC177" i="2"/>
  <c r="AE177" i="2" s="1"/>
  <c r="AC115" i="2"/>
  <c r="AE115" i="2" s="1"/>
  <c r="AC197" i="2"/>
  <c r="AE197" i="2" s="1"/>
  <c r="AC183" i="2"/>
  <c r="AE183" i="2" s="1"/>
  <c r="AC88" i="2"/>
  <c r="AE88" i="2" s="1"/>
  <c r="AC90" i="2"/>
  <c r="AE90" i="2" s="1"/>
  <c r="AC144" i="2"/>
  <c r="AE144" i="2" s="1"/>
  <c r="AC69" i="2"/>
  <c r="AE69" i="2" s="1"/>
  <c r="AC62" i="2"/>
  <c r="AE62" i="2" s="1"/>
  <c r="AD58" i="2"/>
  <c r="AF5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Charles Eum</author>
  </authors>
  <commentList>
    <comment ref="Q4" authorId="0" shapeId="0" xr:uid="{11EC5CF0-C0BC-4CB1-9051-F7955D0BBAF3}">
      <text>
        <r>
          <rPr>
            <b/>
            <sz val="9"/>
            <color indexed="81"/>
            <rFont val="Tahoma"/>
            <family val="2"/>
          </rPr>
          <t xml:space="preserve">Maximum allowable inductance </t>
        </r>
        <r>
          <rPr>
            <sz val="9"/>
            <color indexed="81"/>
            <rFont val="Tahoma"/>
            <family val="2"/>
          </rPr>
          <t xml:space="preserve">
</t>
        </r>
      </text>
    </comment>
    <comment ref="U4" authorId="0" shapeId="0" xr:uid="{DD654AF4-454F-42B0-B283-24B2FD4B505C}">
      <text>
        <r>
          <rPr>
            <b/>
            <sz val="9"/>
            <color indexed="81"/>
            <rFont val="Tahoma"/>
            <family val="2"/>
          </rPr>
          <t>In case of follower-boost disabled option,
enter allowable power loss of FB resistors.
In case of follower-boost enabled option,
this is not used in RFB calculation.
(Instead, RFB is determined by Vout,nom and Vout,LL.)</t>
        </r>
        <r>
          <rPr>
            <sz val="9"/>
            <color indexed="81"/>
            <rFont val="Tahoma"/>
            <family val="2"/>
          </rPr>
          <t xml:space="preserve">
</t>
        </r>
      </text>
    </comment>
    <comment ref="Q5" authorId="0" shapeId="0" xr:uid="{171A970C-B787-4763-B616-98AF410080CB}">
      <text>
        <r>
          <rPr>
            <b/>
            <sz val="9"/>
            <color indexed="81"/>
            <rFont val="Tahoma"/>
            <family val="2"/>
          </rPr>
          <t>Selected inductance which should be lower than VBST,max.</t>
        </r>
        <r>
          <rPr>
            <sz val="9"/>
            <color indexed="81"/>
            <rFont val="Tahoma"/>
            <family val="2"/>
          </rPr>
          <t xml:space="preserve">
</t>
        </r>
      </text>
    </comment>
    <comment ref="Q6" authorId="0" shapeId="0" xr:uid="{C7272B36-0F8A-45DF-A7EF-E566B0E0302C}">
      <text>
        <r>
          <rPr>
            <b/>
            <sz val="9"/>
            <color indexed="81"/>
            <rFont val="Tahoma"/>
            <family val="2"/>
          </rPr>
          <t>Effective core area</t>
        </r>
        <r>
          <rPr>
            <sz val="9"/>
            <color indexed="81"/>
            <rFont val="Tahoma"/>
            <family val="2"/>
          </rPr>
          <t xml:space="preserve">
</t>
        </r>
      </text>
    </comment>
    <comment ref="Q7" authorId="0" shapeId="0" xr:uid="{A1138A10-D8AC-4904-B51C-8896C462B6D0}">
      <text>
        <r>
          <rPr>
            <b/>
            <sz val="9"/>
            <color indexed="81"/>
            <rFont val="Tahoma"/>
            <family val="2"/>
          </rPr>
          <t>Max flux density</t>
        </r>
      </text>
    </comment>
    <comment ref="U7" authorId="0" shapeId="0" xr:uid="{B2E2565A-4514-4807-8D04-2B3D26291F42}">
      <text>
        <r>
          <rPr>
            <b/>
            <sz val="9"/>
            <color indexed="81"/>
            <rFont val="Tahoma"/>
            <family val="2"/>
          </rPr>
          <t>Maximum FB capacitor
CFB filters switching noise into FB pin and should be less than CFB,max.
100 pF ~ 1 nF is generally implemented.</t>
        </r>
        <r>
          <rPr>
            <sz val="9"/>
            <color indexed="81"/>
            <rFont val="Tahoma"/>
            <family val="2"/>
          </rPr>
          <t xml:space="preserve">
</t>
        </r>
      </text>
    </comment>
    <comment ref="Q8" authorId="0" shapeId="0" xr:uid="{F5A26770-AEC0-4C7C-8373-2074B2A32EC0}">
      <text>
        <r>
          <rPr>
            <b/>
            <sz val="9"/>
            <color indexed="81"/>
            <rFont val="Tahoma"/>
            <family val="2"/>
          </rPr>
          <t xml:space="preserve">Minimum Np turns
</t>
        </r>
        <r>
          <rPr>
            <sz val="9"/>
            <color indexed="81"/>
            <rFont val="Tahoma"/>
            <family val="2"/>
          </rPr>
          <t xml:space="preserve">
</t>
        </r>
      </text>
    </comment>
    <comment ref="Q9" authorId="0" shapeId="0" xr:uid="{EFB6AD45-6315-4C97-ABB8-50FC42B54244}">
      <text>
        <r>
          <rPr>
            <b/>
            <sz val="9"/>
            <color indexed="81"/>
            <rFont val="Tahoma"/>
            <family val="2"/>
          </rPr>
          <t xml:space="preserve">Selected Np turns which should be more than Np,min.
</t>
        </r>
        <r>
          <rPr>
            <sz val="9"/>
            <color indexed="81"/>
            <rFont val="Tahoma"/>
            <family val="2"/>
          </rPr>
          <t xml:space="preserve">
</t>
        </r>
      </text>
    </comment>
    <comment ref="U9" authorId="0" shapeId="0" xr:uid="{6F0C7256-C531-4AC2-907F-0DCE32C768B5}">
      <text>
        <r>
          <rPr>
            <b/>
            <sz val="9"/>
            <color indexed="81"/>
            <rFont val="Tahoma"/>
            <family val="2"/>
          </rPr>
          <t>PFC power stage pole frequency</t>
        </r>
        <r>
          <rPr>
            <sz val="9"/>
            <color indexed="81"/>
            <rFont val="Tahoma"/>
            <family val="2"/>
          </rPr>
          <t xml:space="preserve">
</t>
        </r>
      </text>
    </comment>
    <comment ref="M10" authorId="0" shapeId="0" xr:uid="{276D310F-FC35-4ED5-9F70-F5B073B5E08D}">
      <text>
        <r>
          <rPr>
            <b/>
            <sz val="9"/>
            <color indexed="81"/>
            <rFont val="Tahoma"/>
            <family val="2"/>
          </rPr>
          <t>Lowest Level of the line voltage, e.g., 90 Vrms.</t>
        </r>
        <r>
          <rPr>
            <sz val="9"/>
            <color indexed="81"/>
            <rFont val="Tahoma"/>
            <family val="2"/>
          </rPr>
          <t xml:space="preserve">
</t>
        </r>
      </text>
    </comment>
    <comment ref="Q10" authorId="0" shapeId="0" xr:uid="{9E2EFA2D-64C5-4A9B-9896-088C2E4F3C19}">
      <text>
        <r>
          <rPr>
            <b/>
            <sz val="9"/>
            <color indexed="81"/>
            <rFont val="Tahoma"/>
            <family val="2"/>
          </rPr>
          <t>Na (aux. winding) turns in case of Aux. ZCD sensing
in case of drain ZCD sensing,
"N.A." message is shown.</t>
        </r>
      </text>
    </comment>
    <comment ref="U10" authorId="0" shapeId="0" xr:uid="{8085168F-487A-457F-87D1-0D2E37115A50}">
      <text>
        <r>
          <rPr>
            <b/>
            <sz val="9"/>
            <color indexed="81"/>
            <rFont val="Tahoma"/>
            <family val="2"/>
          </rPr>
          <t>Cross-over frequency should be 
higher than PFC power stage pole, fp.</t>
        </r>
        <r>
          <rPr>
            <sz val="9"/>
            <color indexed="81"/>
            <rFont val="Tahoma"/>
            <family val="2"/>
          </rPr>
          <t xml:space="preserve">
</t>
        </r>
      </text>
    </comment>
    <comment ref="M11" authorId="0" shapeId="0" xr:uid="{0515AD25-64EF-4EE9-B80C-0DF919B35BF4}">
      <text>
        <r>
          <rPr>
            <b/>
            <sz val="9"/>
            <color indexed="81"/>
            <rFont val="Tahoma"/>
            <family val="2"/>
          </rPr>
          <t>Highest Level for the line voltage, e.g., 264 Vrms.</t>
        </r>
        <r>
          <rPr>
            <sz val="9"/>
            <color indexed="81"/>
            <rFont val="Tahoma"/>
            <family val="2"/>
          </rPr>
          <t xml:space="preserve">
</t>
        </r>
      </text>
    </comment>
    <comment ref="Q11" authorId="0" shapeId="0" xr:uid="{1DE0CDEA-3142-47FC-9579-DD83918075D5}">
      <text>
        <r>
          <rPr>
            <b/>
            <sz val="9"/>
            <color indexed="81"/>
            <rFont val="Tahoma"/>
            <family val="2"/>
          </rPr>
          <t xml:space="preserve">Maximum inductor peak current at (Vline,rms)LL
In general, inductor peak current is 10 ~ 20% higher than the calculation result due to Vin zero cross distortion.
</t>
        </r>
        <r>
          <rPr>
            <sz val="9"/>
            <color indexed="81"/>
            <rFont val="Tahoma"/>
            <family val="2"/>
          </rPr>
          <t xml:space="preserve">
</t>
        </r>
      </text>
    </comment>
    <comment ref="U11" authorId="0" shapeId="0" xr:uid="{AC5CE7D3-1B74-4C74-BCF2-8F9CE0D9C9EA}">
      <text>
        <r>
          <rPr>
            <b/>
            <sz val="9"/>
            <color indexed="81"/>
            <rFont val="Tahoma"/>
            <family val="2"/>
          </rPr>
          <t>Phase-margin</t>
        </r>
        <r>
          <rPr>
            <sz val="9"/>
            <color indexed="81"/>
            <rFont val="Tahoma"/>
            <family val="2"/>
          </rPr>
          <t xml:space="preserve">
</t>
        </r>
      </text>
    </comment>
    <comment ref="M12" authorId="0" shapeId="0" xr:uid="{3846798D-0C03-48E3-8798-FBFD5A92FD33}">
      <text>
        <r>
          <rPr>
            <b/>
            <sz val="9"/>
            <color indexed="81"/>
            <rFont val="Tahoma"/>
            <family val="2"/>
          </rPr>
          <t>Nominal Output Voltage at high-line, e.g., 390 V.</t>
        </r>
        <r>
          <rPr>
            <sz val="9"/>
            <color indexed="81"/>
            <rFont val="Tahoma"/>
            <family val="2"/>
          </rPr>
          <t xml:space="preserve">
</t>
        </r>
      </text>
    </comment>
    <comment ref="Q12" authorId="0" shapeId="0" xr:uid="{FF56404E-674D-418D-8D6C-264C12C70C49}">
      <text>
        <r>
          <rPr>
            <b/>
            <sz val="9"/>
            <color indexed="81"/>
            <rFont val="Tahoma"/>
            <family val="2"/>
          </rPr>
          <t xml:space="preserve">Maximum inductor RMS current at (Vline,rms)LL
In general, inductor RMS current is 10 ~ 20% higher than the calculation result due to Vin zero cross distortion.
</t>
        </r>
        <r>
          <rPr>
            <sz val="9"/>
            <color indexed="81"/>
            <rFont val="Tahoma"/>
            <family val="2"/>
          </rPr>
          <t xml:space="preserve">
</t>
        </r>
      </text>
    </comment>
    <comment ref="M13" authorId="0" shapeId="0" xr:uid="{C2E865AD-0EFD-4C03-9865-1F9995930336}">
      <text>
        <r>
          <rPr>
            <b/>
            <sz val="9"/>
            <color indexed="81"/>
            <rFont val="Tahoma"/>
            <family val="2"/>
          </rPr>
          <t>In case of follower-boost enabled option,
Output voltage at low-line , e.g., 250 V.
In case of follower-boost disabled option,
Vout,LL is not used in the design tool.</t>
        </r>
      </text>
    </comment>
    <comment ref="Q13" authorId="0" shapeId="0" xr:uid="{68F37016-CB72-4AC8-B9B1-54A33EAC2B5E}">
      <text>
        <r>
          <rPr>
            <b/>
            <sz val="9"/>
            <color indexed="81"/>
            <rFont val="Tahoma"/>
            <family val="2"/>
          </rPr>
          <t>Minimum switching frequency at
   - full load
   - (Vline,rms)LL
   - Line peak voltage region
In general, fsw,min is 10 ~ 20% lower than the calculation result due to Vin zero cross distortion.</t>
        </r>
        <r>
          <rPr>
            <sz val="9"/>
            <color indexed="81"/>
            <rFont val="Tahoma"/>
            <family val="2"/>
          </rPr>
          <t xml:space="preserve">
</t>
        </r>
      </text>
    </comment>
    <comment ref="M14" authorId="0" shapeId="0" xr:uid="{A8176D00-85A1-48D2-B474-F64874D9441F}">
      <text>
        <r>
          <rPr>
            <b/>
            <sz val="9"/>
            <color indexed="81"/>
            <rFont val="Tahoma"/>
            <family val="2"/>
          </rPr>
          <t>Minimum output voltage allowing for operation of the downstream converter.</t>
        </r>
        <r>
          <rPr>
            <sz val="9"/>
            <color indexed="81"/>
            <rFont val="Tahoma"/>
            <family val="2"/>
          </rPr>
          <t xml:space="preserve">
</t>
        </r>
      </text>
    </comment>
    <comment ref="Q15" authorId="0" shapeId="0" xr:uid="{CA22A858-3DA7-4887-9FA0-D3246D67D350}">
      <text>
        <r>
          <rPr>
            <b/>
            <sz val="9"/>
            <color indexed="81"/>
            <rFont val="Tahoma"/>
            <family val="2"/>
          </rPr>
          <t>VFB peak-to-peak ripple ratio [%] =
VFB,pk-pk / VREF x 100
 * VFB,pk-pk = VFB peak-to-peak ripple voltage
 * VREF = VFB reference voltage, 2.5 V
This value should be less than 6% not to abnormally trigger DRE (Dynamic Response Enhancer).
FB DRE Enter Voltage Ratio, KFB(DRE-EN) =
94.5/95.5/96.5%</t>
        </r>
        <r>
          <rPr>
            <sz val="9"/>
            <color indexed="81"/>
            <rFont val="Tahoma"/>
            <family val="2"/>
          </rPr>
          <t xml:space="preserve">
</t>
        </r>
      </text>
    </comment>
    <comment ref="Q16" authorId="0" shapeId="0" xr:uid="{CB2A37EA-E117-4031-BF03-B2C3B6F024F0}">
      <text>
        <r>
          <rPr>
            <b/>
            <sz val="9"/>
            <color indexed="81"/>
            <rFont val="Tahoma"/>
            <family val="2"/>
          </rPr>
          <t>Hold-up time
Put 0 if hold-up time is not specified</t>
        </r>
        <r>
          <rPr>
            <sz val="9"/>
            <color indexed="81"/>
            <rFont val="Tahoma"/>
            <family val="2"/>
          </rPr>
          <t xml:space="preserve">
</t>
        </r>
      </text>
    </comment>
    <comment ref="U16" authorId="0" shapeId="0" xr:uid="{F24A5B3B-2D69-4517-A192-626D26EBB370}">
      <text>
        <r>
          <rPr>
            <b/>
            <sz val="9"/>
            <color indexed="81"/>
            <rFont val="Tahoma"/>
            <family val="2"/>
          </rPr>
          <t>Maximum sensing resistor</t>
        </r>
      </text>
    </comment>
    <comment ref="Q17" authorId="0" shapeId="0" xr:uid="{78617227-7090-4DA1-8CB9-B99F3E8CE8CC}">
      <text>
        <r>
          <rPr>
            <b/>
            <sz val="9"/>
            <color indexed="81"/>
            <rFont val="Tahoma"/>
            <family val="2"/>
          </rPr>
          <t>Minimum Bulk capacitance</t>
        </r>
      </text>
    </comment>
    <comment ref="U17" authorId="0" shapeId="0" xr:uid="{FDD417C1-B997-4D7D-983F-FF0E6537467A}">
      <text>
        <r>
          <rPr>
            <b/>
            <sz val="9"/>
            <color indexed="81"/>
            <rFont val="Tahoma"/>
            <family val="2"/>
          </rPr>
          <t>Selected sensing resistor which should be smaller than RSENSE,max.</t>
        </r>
        <r>
          <rPr>
            <sz val="9"/>
            <color indexed="81"/>
            <rFont val="Tahoma"/>
            <family val="2"/>
          </rPr>
          <t xml:space="preserve">
</t>
        </r>
      </text>
    </comment>
    <comment ref="M18" authorId="0" shapeId="0" xr:uid="{643381B4-90BF-440D-88BE-A934E658A14F}">
      <text>
        <r>
          <rPr>
            <b/>
            <sz val="9"/>
            <color indexed="81"/>
            <rFont val="Tahoma"/>
            <family val="2"/>
          </rPr>
          <t>There're two ZCD sensing methods.
In Option 1: Drain ZCD sensing, select "Drain".
In Option 2: Auxiliary-winding ZCD sensing, select "Aux.".</t>
        </r>
        <r>
          <rPr>
            <sz val="9"/>
            <color indexed="81"/>
            <rFont val="Tahoma"/>
            <family val="2"/>
          </rPr>
          <t xml:space="preserve">
</t>
        </r>
      </text>
    </comment>
    <comment ref="Q18" authorId="0" shapeId="0" xr:uid="{EADC2F48-2CAD-434E-B968-2C66C49B4C24}">
      <text>
        <r>
          <rPr>
            <b/>
            <sz val="9"/>
            <color indexed="81"/>
            <rFont val="Tahoma"/>
            <family val="2"/>
          </rPr>
          <t>Selected bulk capacitance which should be bigger than CBULK,min.</t>
        </r>
        <r>
          <rPr>
            <sz val="9"/>
            <color indexed="81"/>
            <rFont val="Tahoma"/>
            <family val="2"/>
          </rPr>
          <t xml:space="preserve">
</t>
        </r>
      </text>
    </comment>
    <comment ref="U18" authorId="0" shapeId="0" xr:uid="{9AAF3FF5-2B2D-474C-AB14-29783265A8F7}">
      <text>
        <r>
          <rPr>
            <b/>
            <sz val="9"/>
            <color indexed="81"/>
            <rFont val="Tahoma"/>
            <family val="2"/>
          </rPr>
          <t>Rsense conduction loss 
at (Vline,rms)LL and full load</t>
        </r>
      </text>
    </comment>
    <comment ref="M19" authorId="0" shapeId="0" xr:uid="{E7EA9B5D-8852-4AD1-8E75-7334F5EF1633}">
      <text>
        <r>
          <rPr>
            <b/>
            <sz val="9"/>
            <color indexed="81"/>
            <rFont val="Tahoma"/>
            <family val="2"/>
          </rPr>
          <t>Peak-to-peak output voltage ripple</t>
        </r>
      </text>
    </comment>
    <comment ref="Q19" authorId="0" shapeId="0" xr:uid="{6787E54F-1723-4430-89D2-D7B811F1BECE}">
      <text>
        <r>
          <rPr>
            <b/>
            <sz val="9"/>
            <color indexed="81"/>
            <rFont val="Tahoma"/>
            <family val="2"/>
          </rPr>
          <t xml:space="preserve">Maximum bulk capacitor RMS current
</t>
        </r>
        <r>
          <rPr>
            <sz val="9"/>
            <color indexed="81"/>
            <rFont val="Tahoma"/>
            <family val="2"/>
          </rPr>
          <t xml:space="preserve">
</t>
        </r>
      </text>
    </comment>
    <comment ref="U19" authorId="0" shapeId="0" xr:uid="{60BB2342-755C-438A-AABC-E5D5F95625F2}">
      <text>
        <r>
          <rPr>
            <b/>
            <sz val="9"/>
            <color indexed="81"/>
            <rFont val="Tahoma"/>
            <family val="2"/>
          </rPr>
          <t>CS resistor ratio, KCS =(RCS1 + RCS2)/RCS1
KCS = 133 is recommended.</t>
        </r>
        <r>
          <rPr>
            <sz val="9"/>
            <color indexed="81"/>
            <rFont val="Tahoma"/>
            <family val="2"/>
          </rPr>
          <t xml:space="preserve">
</t>
        </r>
      </text>
    </comment>
    <comment ref="M20" authorId="0" shapeId="0" xr:uid="{C99E857E-F553-4308-9659-85DFDE829042}">
      <text>
        <r>
          <rPr>
            <b/>
            <sz val="9"/>
            <color indexed="81"/>
            <rFont val="Tahoma"/>
            <family val="2"/>
          </rPr>
          <t xml:space="preserve">Peak-to-peak output voltage ripple at low-line
in case of follower-boost enabled option </t>
        </r>
      </text>
    </comment>
    <comment ref="U20" authorId="0" shapeId="0" xr:uid="{B1F8C37C-42CA-4D08-BC3B-0B5BEBC2E519}">
      <text>
        <r>
          <rPr>
            <b/>
            <sz val="9"/>
            <color indexed="81"/>
            <rFont val="Tahoma"/>
            <family val="2"/>
          </rPr>
          <t>In case of drain ZCD sensing,
enter allowable power loss of CS resistors.
In case of aux. winding ZCD sensing,
this is not used in RFB calculation.
(Instead, RFB is determined by Vout,nom and Vout,LL.)</t>
        </r>
        <r>
          <rPr>
            <sz val="9"/>
            <color indexed="81"/>
            <rFont val="Tahoma"/>
            <family val="2"/>
          </rPr>
          <t xml:space="preserve">
</t>
        </r>
      </text>
    </comment>
    <comment ref="M21" authorId="0" shapeId="0" xr:uid="{DDA3A679-A567-4D6D-BCEB-31355F88C3D7}">
      <text>
        <r>
          <rPr>
            <b/>
            <sz val="9"/>
            <color indexed="81"/>
            <rFont val="Tahoma"/>
            <family val="2"/>
          </rPr>
          <t>High line detection voltage (rms) threshold
At HL detection mode,
 tON = tON(MAX-HL) x (VCTRL - 0.5) / 4
This level can be proportionally  adjusted by KCS.</t>
        </r>
      </text>
    </comment>
    <comment ref="Q21" authorId="0" shapeId="0" xr:uid="{543CCDE7-E76C-4897-9B05-509B7C8BDBBA}">
      <text>
        <r>
          <rPr>
            <b/>
            <sz val="9"/>
            <color indexed="81"/>
            <rFont val="Tahoma"/>
            <family val="2"/>
          </rPr>
          <t>FET Rds.on</t>
        </r>
        <r>
          <rPr>
            <sz val="9"/>
            <color indexed="81"/>
            <rFont val="Tahoma"/>
            <family val="2"/>
          </rPr>
          <t xml:space="preserve">
</t>
        </r>
      </text>
    </comment>
    <comment ref="U21" authorId="0" shapeId="0" xr:uid="{B1060A15-DBBB-488B-9E90-F0DE6B57598C}">
      <text>
        <r>
          <rPr>
            <b/>
            <sz val="9"/>
            <color indexed="81"/>
            <rFont val="Tahoma"/>
            <family val="2"/>
          </rPr>
          <t>Recommended RCS2 resistance :
62 kohm in case of drain ZCD sensing.
22 kohm in case of aux. winding ZCD sensing.</t>
        </r>
      </text>
    </comment>
    <comment ref="M22" authorId="0" shapeId="0" xr:uid="{DE4B8128-DA31-4B06-A19F-9A79FD6CEF0D}">
      <text>
        <r>
          <rPr>
            <b/>
            <sz val="9"/>
            <color indexed="81"/>
            <rFont val="Tahoma"/>
            <family val="2"/>
          </rPr>
          <t>Low line detection voltage (rms) threshold
At LL detection mode,
 tON = tON(MAX-LL) x (VCTRL - 0.5) / 4
This level can be proportionally  adjusted by KCS.</t>
        </r>
      </text>
    </comment>
    <comment ref="Q22" authorId="0" shapeId="0" xr:uid="{2544414F-7468-430A-913D-B36AD87DF89E}">
      <text>
        <r>
          <rPr>
            <b/>
            <sz val="9"/>
            <color indexed="81"/>
            <rFont val="Tahoma"/>
            <family val="2"/>
          </rPr>
          <t>FET conduction loss 
at (Vline,rms)LL and full load</t>
        </r>
      </text>
    </comment>
    <comment ref="U22" authorId="0" shapeId="0" xr:uid="{A3A5E047-6C4A-461C-90A2-6A05462585F9}">
      <text>
        <r>
          <rPr>
            <b/>
            <sz val="9"/>
            <color indexed="81"/>
            <rFont val="Tahoma"/>
            <family val="2"/>
          </rPr>
          <t>Selected RCS2 resistance</t>
        </r>
      </text>
    </comment>
    <comment ref="M23" authorId="0" shapeId="0" xr:uid="{3930B5A9-BFD0-4A13-A4CC-B4A8C480F16F}">
      <text>
        <r>
          <rPr>
            <b/>
            <sz val="9"/>
            <color indexed="81"/>
            <rFont val="Tahoma"/>
            <family val="2"/>
          </rPr>
          <t>Brown-out "Enter" line voltage (rms)
This level can be proportionally  adjusted by KCS.
If IC option doesn't include BO function,
"N.A." message is shown.
If ZCD sensing is Aux., BO makes trouble to startup and
"Error" message is shown. So, change ZCD sensing input to "Drain".</t>
        </r>
      </text>
    </comment>
    <comment ref="Q23" authorId="0" shapeId="0" xr:uid="{164B33E5-8373-4776-99F7-C114C4D8E66D}">
      <text>
        <r>
          <rPr>
            <b/>
            <sz val="9"/>
            <color indexed="81"/>
            <rFont val="Tahoma"/>
            <family val="2"/>
          </rPr>
          <t>FET drain-source max voltage
limited by Fast OVP</t>
        </r>
      </text>
    </comment>
    <comment ref="M24" authorId="0" shapeId="0" xr:uid="{A8638828-60E4-4580-97A5-F693928AD8C5}">
      <text>
        <r>
          <rPr>
            <b/>
            <sz val="9"/>
            <color indexed="81"/>
            <rFont val="Tahoma"/>
            <family val="2"/>
          </rPr>
          <t>Brown-out "Exit" line voltage (rms)
This level can be proportionally  adjusted by KCS.
If IC option doesn't include BO function,
"N.A." message is shown.
If ZCD sensing is Aux., BO makes trouble to startup and
"Error" message is shown. So, change ZCD sensing input to "Drain".</t>
        </r>
      </text>
    </comment>
    <comment ref="Q24" authorId="0" shapeId="0" xr:uid="{9D5173E3-7C2E-491A-A698-CF516176D513}">
      <text>
        <r>
          <rPr>
            <b/>
            <sz val="9"/>
            <color indexed="81"/>
            <rFont val="Tahoma"/>
            <family val="2"/>
          </rPr>
          <t>Boost diode forward voltage</t>
        </r>
        <r>
          <rPr>
            <sz val="9"/>
            <color indexed="81"/>
            <rFont val="Tahoma"/>
            <family val="2"/>
          </rPr>
          <t xml:space="preserve">
</t>
        </r>
      </text>
    </comment>
    <comment ref="U24" authorId="0" shapeId="0" xr:uid="{C8C7EDD3-0C32-4F4E-8D04-B691164B2869}">
      <text>
        <r>
          <rPr>
            <b/>
            <sz val="9"/>
            <color indexed="81"/>
            <rFont val="Tahoma"/>
            <family val="2"/>
          </rPr>
          <t>Power loss of RCS resistors</t>
        </r>
      </text>
    </comment>
    <comment ref="M25" authorId="0" shapeId="0" xr:uid="{4F668163-C7A5-40DE-BFBE-C1A109305012}">
      <text>
        <r>
          <rPr>
            <b/>
            <sz val="9"/>
            <color indexed="81"/>
            <rFont val="Tahoma"/>
            <family val="2"/>
          </rPr>
          <t>Under Voltage Protection "Enter" line voltage (rms)</t>
        </r>
      </text>
    </comment>
    <comment ref="Q25" authorId="0" shapeId="0" xr:uid="{9A92852C-F888-469D-BBEA-FFB46679D5F3}">
      <text>
        <r>
          <rPr>
            <b/>
            <sz val="9"/>
            <color indexed="81"/>
            <rFont val="Tahoma"/>
            <family val="2"/>
          </rPr>
          <t>Boost diode conduction loss at full load</t>
        </r>
      </text>
    </comment>
    <comment ref="U25" authorId="0" shapeId="0" xr:uid="{C50449D7-E085-4D29-8589-E9F6C60A72FD}">
      <text>
        <r>
          <rPr>
            <b/>
            <sz val="9"/>
            <color indexed="81"/>
            <rFont val="Tahoma"/>
            <family val="2"/>
          </rPr>
          <t>DAUX turn-off max voltage limited by Fast OVP
in case of Aux. ZCD sensing
in case of drain ZCD sensing,
"N.A." message is shown.</t>
        </r>
      </text>
    </comment>
    <comment ref="M26" authorId="0" shapeId="0" xr:uid="{E91290CF-03D2-4ED5-BA1A-8E99EE5E91F8}">
      <text>
        <r>
          <rPr>
            <b/>
            <sz val="9"/>
            <color indexed="81"/>
            <rFont val="Tahoma"/>
            <family val="2"/>
          </rPr>
          <t>Under Voltage Protection "Exit" line voltage (rms)</t>
        </r>
      </text>
    </comment>
    <comment ref="Q26" authorId="0" shapeId="0" xr:uid="{6D858611-EA6B-4AD5-BC7A-DAEDCB68FBBA}">
      <text>
        <r>
          <rPr>
            <b/>
            <sz val="9"/>
            <color indexed="81"/>
            <rFont val="Tahoma"/>
            <family val="2"/>
          </rPr>
          <t>Boost diode turn-off max voltage
limited by Fast OVP</t>
        </r>
      </text>
    </comment>
    <comment ref="U26" authorId="0" shapeId="0" xr:uid="{53E3D40D-F1E4-4709-B92A-5315F131DB52}">
      <text>
        <r>
          <rPr>
            <b/>
            <sz val="9"/>
            <color indexed="81"/>
            <rFont val="Tahoma"/>
            <family val="2"/>
          </rPr>
          <t>Recommended CAUX capacitance
in case of Aux. ZCD sensing
in case of drain ZCD sensing,
"N.A." message is shown.</t>
        </r>
      </text>
    </comment>
    <comment ref="M27" authorId="0" shapeId="0" xr:uid="{19A16D3D-E3B4-4109-AB6A-A059C98511CE}">
      <text>
        <r>
          <rPr>
            <b/>
            <sz val="9"/>
            <color indexed="81"/>
            <rFont val="Tahoma"/>
            <family val="2"/>
          </rPr>
          <t>Under Voltage Protection "Enter" line voltage (rms) at low-line
in case of follower-boost enabled option
If IC option doesn't include follower-boost function,
"N.A." message is shown.</t>
        </r>
      </text>
    </comment>
    <comment ref="Q27" authorId="0" shapeId="0" xr:uid="{E8D9AB7E-60E5-48C2-B702-A9845754CCB2}">
      <text>
        <r>
          <rPr>
            <b/>
            <sz val="9"/>
            <color indexed="81"/>
            <rFont val="Tahoma"/>
            <family val="2"/>
          </rPr>
          <t>Bridge diode forward voltage</t>
        </r>
        <r>
          <rPr>
            <sz val="9"/>
            <color indexed="81"/>
            <rFont val="Tahoma"/>
            <family val="2"/>
          </rPr>
          <t xml:space="preserve">
</t>
        </r>
      </text>
    </comment>
    <comment ref="U27" authorId="0" shapeId="0" xr:uid="{162A1DE6-604E-4261-95BD-C8E46A5FA56C}">
      <text>
        <r>
          <rPr>
            <b/>
            <sz val="9"/>
            <color indexed="81"/>
            <rFont val="Tahoma"/>
            <family val="2"/>
          </rPr>
          <t>Selected CAUX resistance</t>
        </r>
      </text>
    </comment>
    <comment ref="M28" authorId="0" shapeId="0" xr:uid="{5F122525-B196-4BAD-8024-0C9704F6AEF3}">
      <text>
        <r>
          <rPr>
            <b/>
            <sz val="9"/>
            <color indexed="81"/>
            <rFont val="Tahoma"/>
            <family val="2"/>
          </rPr>
          <t>Under Voltage Protection "Exit" line voltage (rms) at low-line
in case of follower-boost enabled option
If IC option doesn't include follower-boost function,
"N.A." message is shown.</t>
        </r>
      </text>
    </comment>
    <comment ref="Q28" authorId="0" shapeId="0" xr:uid="{DB6B6050-C693-4734-99FA-DA5DCCC51ABB}">
      <text>
        <r>
          <rPr>
            <b/>
            <sz val="9"/>
            <color indexed="81"/>
            <rFont val="Tahoma"/>
            <family val="2"/>
          </rPr>
          <t>Bridge diode conduction loss 
at (Vline,rms)LL and full load</t>
        </r>
      </text>
    </comment>
    <comment ref="U28" authorId="0" shapeId="0" xr:uid="{70147E92-18CB-4D6F-AD2E-E7B133BADA8A}">
      <text>
        <r>
          <rPr>
            <b/>
            <sz val="9"/>
            <color indexed="81"/>
            <rFont val="Tahoma"/>
            <family val="2"/>
          </rPr>
          <t>Recommended RAUX resistance
in case of Aux. ZCD sensing
in case of drain ZCD sensing,
"N.A." message is shown.</t>
        </r>
      </text>
    </comment>
    <comment ref="M29" authorId="0" shapeId="0" xr:uid="{8638ACA7-FCD2-4D6D-928F-6A23E23E7C74}">
      <text>
        <r>
          <rPr>
            <b/>
            <sz val="9"/>
            <color indexed="81"/>
            <rFont val="Tahoma"/>
            <family val="2"/>
          </rPr>
          <t>OVP2 triggering output voltage
If IC option doesn't include OVP2 function,
"N.A." message is shown.</t>
        </r>
      </text>
    </comment>
    <comment ref="M37" authorId="0" shapeId="0" xr:uid="{D6092E2C-BA8D-47D1-B4F7-B07B0E12D5D4}">
      <text>
        <r>
          <rPr>
            <b/>
            <sz val="9"/>
            <color indexed="81"/>
            <rFont val="Tahoma"/>
            <family val="2"/>
          </rPr>
          <t>Load at the frequency foldback boundary condition</t>
        </r>
      </text>
    </comment>
    <comment ref="M38" authorId="0" shapeId="0" xr:uid="{69E4B92F-6D2B-4F3D-856A-0476E05576E4}">
      <text>
        <r>
          <rPr>
            <b/>
            <sz val="9"/>
            <color indexed="81"/>
            <rFont val="Tahoma"/>
            <family val="2"/>
          </rPr>
          <t>Load condition for fsw.load1 curve</t>
        </r>
        <r>
          <rPr>
            <sz val="9"/>
            <color indexed="81"/>
            <rFont val="Tahoma"/>
            <family val="2"/>
          </rPr>
          <t xml:space="preserve">
</t>
        </r>
      </text>
    </comment>
    <comment ref="M39" authorId="0" shapeId="0" xr:uid="{119736A8-11C0-4F86-9E05-C411ECF6046F}">
      <text>
        <r>
          <rPr>
            <b/>
            <sz val="9"/>
            <color indexed="81"/>
            <rFont val="Tahoma"/>
            <family val="2"/>
          </rPr>
          <t>Load condition for fsw.load2 curve</t>
        </r>
        <r>
          <rPr>
            <sz val="9"/>
            <color indexed="81"/>
            <rFont val="Tahoma"/>
            <family val="2"/>
          </rPr>
          <t xml:space="preserve">
</t>
        </r>
      </text>
    </comment>
    <comment ref="M40" authorId="0" shapeId="0" xr:uid="{ED1CE064-A80F-4B98-B926-5AD9768DA257}">
      <text>
        <r>
          <rPr>
            <b/>
            <sz val="9"/>
            <color indexed="81"/>
            <rFont val="Tahoma"/>
            <family val="2"/>
          </rPr>
          <t>Load condition for fsw.load3 curve</t>
        </r>
        <r>
          <rPr>
            <sz val="9"/>
            <color indexed="81"/>
            <rFont val="Tahoma"/>
            <family val="2"/>
          </rPr>
          <t xml:space="preserve">
</t>
        </r>
      </text>
    </comment>
    <comment ref="M41" authorId="0" shapeId="0" xr:uid="{7D762290-07CA-4343-A738-9507301C42D8}">
      <text>
        <r>
          <rPr>
            <b/>
            <sz val="9"/>
            <color indexed="81"/>
            <rFont val="Tahoma"/>
            <family val="2"/>
          </rPr>
          <t>Load condition for fsw.load4 curve</t>
        </r>
        <r>
          <rPr>
            <sz val="9"/>
            <color indexed="81"/>
            <rFont val="Tahoma"/>
            <family val="2"/>
          </rPr>
          <t xml:space="preserve">
</t>
        </r>
      </text>
    </comment>
  </commentList>
</comments>
</file>

<file path=xl/sharedStrings.xml><?xml version="1.0" encoding="utf-8"?>
<sst xmlns="http://schemas.openxmlformats.org/spreadsheetml/2006/main" count="356" uniqueCount="227">
  <si>
    <t>System Spec</t>
    <phoneticPr fontId="1" type="noConversion"/>
  </si>
  <si>
    <t>Control Circuit</t>
    <phoneticPr fontId="1" type="noConversion"/>
  </si>
  <si>
    <t>Hz</t>
    <phoneticPr fontId="1" type="noConversion"/>
  </si>
  <si>
    <t>V</t>
    <phoneticPr fontId="1" type="noConversion"/>
  </si>
  <si>
    <t>%</t>
    <phoneticPr fontId="1" type="noConversion"/>
  </si>
  <si>
    <t>Ω</t>
    <phoneticPr fontId="1" type="noConversion"/>
  </si>
  <si>
    <t>ms</t>
    <phoneticPr fontId="1" type="noConversion"/>
  </si>
  <si>
    <t>kHz</t>
    <phoneticPr fontId="1" type="noConversion"/>
  </si>
  <si>
    <t>A</t>
    <phoneticPr fontId="1" type="noConversion"/>
  </si>
  <si>
    <t>mW</t>
    <phoneticPr fontId="1" type="noConversion"/>
  </si>
  <si>
    <t>nF</t>
    <phoneticPr fontId="1" type="noConversion"/>
  </si>
  <si>
    <t>µF</t>
    <phoneticPr fontId="1" type="noConversion"/>
  </si>
  <si>
    <t>pF</t>
    <phoneticPr fontId="1" type="noConversion"/>
  </si>
  <si>
    <r>
      <t>V</t>
    </r>
    <r>
      <rPr>
        <vertAlign val="subscript"/>
        <sz val="11"/>
        <rFont val="Arial"/>
        <family val="2"/>
      </rPr>
      <t>RMS</t>
    </r>
    <phoneticPr fontId="1" type="noConversion"/>
  </si>
  <si>
    <t>Efficiency</t>
    <phoneticPr fontId="1" type="noConversion"/>
  </si>
  <si>
    <r>
      <t>f</t>
    </r>
    <r>
      <rPr>
        <b/>
        <i/>
        <vertAlign val="subscript"/>
        <sz val="11"/>
        <rFont val="Times New Roman"/>
        <family val="1"/>
      </rPr>
      <t>line</t>
    </r>
    <phoneticPr fontId="1" type="noConversion"/>
  </si>
  <si>
    <r>
      <t>V</t>
    </r>
    <r>
      <rPr>
        <b/>
        <i/>
        <vertAlign val="subscript"/>
        <sz val="11"/>
        <rFont val="Times New Roman"/>
        <family val="1"/>
      </rPr>
      <t>out,nom</t>
    </r>
    <phoneticPr fontId="1" type="noConversion"/>
  </si>
  <si>
    <r>
      <t>V</t>
    </r>
    <r>
      <rPr>
        <b/>
        <i/>
        <vertAlign val="subscript"/>
        <sz val="11"/>
        <rFont val="Times New Roman"/>
        <family val="1"/>
      </rPr>
      <t>out,LL</t>
    </r>
    <phoneticPr fontId="1" type="noConversion"/>
  </si>
  <si>
    <r>
      <t>P</t>
    </r>
    <r>
      <rPr>
        <b/>
        <i/>
        <vertAlign val="subscript"/>
        <sz val="11"/>
        <rFont val="Times New Roman"/>
        <family val="1"/>
      </rPr>
      <t>out,max</t>
    </r>
    <phoneticPr fontId="1" type="noConversion"/>
  </si>
  <si>
    <t>W</t>
    <phoneticPr fontId="1" type="noConversion"/>
  </si>
  <si>
    <r>
      <t>V</t>
    </r>
    <r>
      <rPr>
        <b/>
        <i/>
        <vertAlign val="subscript"/>
        <sz val="11"/>
        <rFont val="Times New Roman"/>
        <family val="1"/>
      </rPr>
      <t>out,min</t>
    </r>
    <phoneticPr fontId="1" type="noConversion"/>
  </si>
  <si>
    <t>A</t>
  </si>
  <si>
    <t>C</t>
    <phoneticPr fontId="1" type="noConversion"/>
  </si>
  <si>
    <t>Ton.max.LL</t>
    <phoneticPr fontId="1" type="noConversion"/>
  </si>
  <si>
    <t>Power Stage</t>
    <phoneticPr fontId="1" type="noConversion"/>
  </si>
  <si>
    <t>Pin.max</t>
    <phoneticPr fontId="1" type="noConversion"/>
  </si>
  <si>
    <t>sec</t>
    <phoneticPr fontId="1" type="noConversion"/>
  </si>
  <si>
    <r>
      <t>L</t>
    </r>
    <r>
      <rPr>
        <b/>
        <i/>
        <vertAlign val="subscript"/>
        <sz val="11"/>
        <rFont val="Times New Roman"/>
        <family val="1"/>
      </rPr>
      <t>BST,max</t>
    </r>
    <phoneticPr fontId="1" type="noConversion"/>
  </si>
  <si>
    <t>uH</t>
    <phoneticPr fontId="1" type="noConversion"/>
  </si>
  <si>
    <t>Lbst.max</t>
    <phoneticPr fontId="1" type="noConversion"/>
  </si>
  <si>
    <t>H</t>
    <phoneticPr fontId="1" type="noConversion"/>
  </si>
  <si>
    <r>
      <t>L</t>
    </r>
    <r>
      <rPr>
        <b/>
        <i/>
        <vertAlign val="subscript"/>
        <sz val="11"/>
        <rFont val="Times New Roman"/>
        <family val="1"/>
      </rPr>
      <t>BST,selected</t>
    </r>
    <phoneticPr fontId="1" type="noConversion"/>
  </si>
  <si>
    <t>Lbst.sel</t>
    <phoneticPr fontId="1" type="noConversion"/>
  </si>
  <si>
    <r>
      <t>A</t>
    </r>
    <r>
      <rPr>
        <vertAlign val="subscript"/>
        <sz val="11"/>
        <rFont val="Arial"/>
        <family val="2"/>
      </rPr>
      <t>RMS</t>
    </r>
    <phoneticPr fontId="1" type="noConversion"/>
  </si>
  <si>
    <r>
      <t>Q</t>
    </r>
    <r>
      <rPr>
        <b/>
        <i/>
        <vertAlign val="subscript"/>
        <sz val="11"/>
        <rFont val="Times New Roman"/>
        <family val="1"/>
      </rPr>
      <t>BST</t>
    </r>
    <r>
      <rPr>
        <b/>
        <i/>
        <sz val="11"/>
        <rFont val="Times New Roman"/>
        <family val="1"/>
      </rPr>
      <t xml:space="preserve"> R</t>
    </r>
    <r>
      <rPr>
        <b/>
        <i/>
        <vertAlign val="subscript"/>
        <sz val="11"/>
        <rFont val="Times New Roman"/>
        <family val="1"/>
      </rPr>
      <t>DS(on)</t>
    </r>
    <phoneticPr fontId="1" type="noConversion"/>
  </si>
  <si>
    <r>
      <t>Q</t>
    </r>
    <r>
      <rPr>
        <b/>
        <i/>
        <vertAlign val="subscript"/>
        <sz val="11"/>
        <rFont val="Times New Roman"/>
        <family val="1"/>
      </rPr>
      <t>BST</t>
    </r>
    <r>
      <rPr>
        <b/>
        <i/>
        <sz val="11"/>
        <rFont val="Times New Roman"/>
        <family val="1"/>
      </rPr>
      <t>, V</t>
    </r>
    <r>
      <rPr>
        <b/>
        <i/>
        <vertAlign val="subscript"/>
        <sz val="11"/>
        <rFont val="Times New Roman"/>
        <family val="1"/>
      </rPr>
      <t>DS,max</t>
    </r>
    <phoneticPr fontId="1" type="noConversion"/>
  </si>
  <si>
    <r>
      <t>Q</t>
    </r>
    <r>
      <rPr>
        <b/>
        <i/>
        <vertAlign val="subscript"/>
        <sz val="11"/>
        <rFont val="Times New Roman"/>
        <family val="1"/>
      </rPr>
      <t>BST</t>
    </r>
    <r>
      <rPr>
        <b/>
        <i/>
        <sz val="11"/>
        <rFont val="Times New Roman"/>
        <family val="1"/>
      </rPr>
      <t>, P</t>
    </r>
    <r>
      <rPr>
        <b/>
        <i/>
        <vertAlign val="subscript"/>
        <sz val="11"/>
        <rFont val="Times New Roman"/>
        <family val="1"/>
      </rPr>
      <t>D,cond</t>
    </r>
    <phoneticPr fontId="1" type="noConversion"/>
  </si>
  <si>
    <t>Qbst Irms</t>
    <phoneticPr fontId="1" type="noConversion"/>
  </si>
  <si>
    <r>
      <t>D</t>
    </r>
    <r>
      <rPr>
        <b/>
        <i/>
        <vertAlign val="subscript"/>
        <sz val="11"/>
        <rFont val="Times New Roman"/>
        <family val="1"/>
      </rPr>
      <t>BST</t>
    </r>
    <r>
      <rPr>
        <b/>
        <i/>
        <sz val="11"/>
        <rFont val="Times New Roman"/>
        <family val="1"/>
      </rPr>
      <t xml:space="preserve"> V</t>
    </r>
    <r>
      <rPr>
        <b/>
        <i/>
        <vertAlign val="subscript"/>
        <sz val="11"/>
        <rFont val="Times New Roman"/>
        <family val="1"/>
      </rPr>
      <t>f</t>
    </r>
    <phoneticPr fontId="1" type="noConversion"/>
  </si>
  <si>
    <r>
      <t>D</t>
    </r>
    <r>
      <rPr>
        <b/>
        <i/>
        <vertAlign val="subscript"/>
        <sz val="11"/>
        <rFont val="Times New Roman"/>
        <family val="1"/>
      </rPr>
      <t>BST</t>
    </r>
    <r>
      <rPr>
        <b/>
        <i/>
        <sz val="11"/>
        <rFont val="Times New Roman"/>
        <family val="1"/>
      </rPr>
      <t>, P</t>
    </r>
    <r>
      <rPr>
        <b/>
        <i/>
        <vertAlign val="subscript"/>
        <sz val="11"/>
        <rFont val="Times New Roman"/>
        <family val="1"/>
      </rPr>
      <t>D,cond</t>
    </r>
    <phoneticPr fontId="1" type="noConversion"/>
  </si>
  <si>
    <t>Vo.LL</t>
    <phoneticPr fontId="1" type="noConversion"/>
  </si>
  <si>
    <t>Bst Follower</t>
    <phoneticPr fontId="1" type="noConversion"/>
  </si>
  <si>
    <t>Y</t>
    <phoneticPr fontId="1" type="noConversion"/>
  </si>
  <si>
    <t>N</t>
    <phoneticPr fontId="1" type="noConversion"/>
  </si>
  <si>
    <t>OVP2</t>
    <phoneticPr fontId="1" type="noConversion"/>
  </si>
  <si>
    <r>
      <t>D</t>
    </r>
    <r>
      <rPr>
        <b/>
        <i/>
        <vertAlign val="subscript"/>
        <sz val="11"/>
        <rFont val="Times New Roman"/>
        <family val="1"/>
      </rPr>
      <t>BD</t>
    </r>
    <r>
      <rPr>
        <b/>
        <i/>
        <sz val="11"/>
        <rFont val="Times New Roman"/>
        <family val="1"/>
      </rPr>
      <t xml:space="preserve"> V</t>
    </r>
    <r>
      <rPr>
        <b/>
        <i/>
        <vertAlign val="subscript"/>
        <sz val="11"/>
        <rFont val="Times New Roman"/>
        <family val="1"/>
      </rPr>
      <t>f</t>
    </r>
    <phoneticPr fontId="1" type="noConversion"/>
  </si>
  <si>
    <r>
      <t>D</t>
    </r>
    <r>
      <rPr>
        <b/>
        <i/>
        <vertAlign val="subscript"/>
        <sz val="11"/>
        <rFont val="Times New Roman"/>
        <family val="1"/>
      </rPr>
      <t>BD</t>
    </r>
    <r>
      <rPr>
        <b/>
        <i/>
        <sz val="11"/>
        <rFont val="Times New Roman"/>
        <family val="1"/>
      </rPr>
      <t>, P</t>
    </r>
    <r>
      <rPr>
        <b/>
        <i/>
        <vertAlign val="subscript"/>
        <sz val="11"/>
        <rFont val="Times New Roman"/>
        <family val="1"/>
      </rPr>
      <t>D,cond</t>
    </r>
    <phoneticPr fontId="1" type="noConversion"/>
  </si>
  <si>
    <r>
      <t>K</t>
    </r>
    <r>
      <rPr>
        <b/>
        <i/>
        <vertAlign val="subscript"/>
        <sz val="11"/>
        <rFont val="Times New Roman"/>
        <family val="1"/>
      </rPr>
      <t>VFB,pk-pk</t>
    </r>
    <phoneticPr fontId="1" type="noConversion"/>
  </si>
  <si>
    <r>
      <t>f</t>
    </r>
    <r>
      <rPr>
        <b/>
        <i/>
        <vertAlign val="subscript"/>
        <sz val="11"/>
        <rFont val="Times New Roman"/>
        <family val="1"/>
      </rPr>
      <t>SW,min</t>
    </r>
    <phoneticPr fontId="1" type="noConversion"/>
  </si>
  <si>
    <t>Cbulk.min1</t>
    <phoneticPr fontId="1" type="noConversion"/>
  </si>
  <si>
    <t>F</t>
    <phoneticPr fontId="1" type="noConversion"/>
  </si>
  <si>
    <t>Cbulk.min2</t>
    <phoneticPr fontId="1" type="noConversion"/>
  </si>
  <si>
    <r>
      <t>t</t>
    </r>
    <r>
      <rPr>
        <b/>
        <i/>
        <vertAlign val="subscript"/>
        <sz val="11"/>
        <rFont val="Times New Roman"/>
        <family val="1"/>
      </rPr>
      <t>HOLD-UP</t>
    </r>
    <phoneticPr fontId="1" type="noConversion"/>
  </si>
  <si>
    <t>thold-up</t>
    <phoneticPr fontId="1" type="noConversion"/>
  </si>
  <si>
    <r>
      <t>C</t>
    </r>
    <r>
      <rPr>
        <b/>
        <i/>
        <vertAlign val="subscript"/>
        <sz val="11"/>
        <rFont val="Times New Roman"/>
        <family val="1"/>
      </rPr>
      <t>BULK,min</t>
    </r>
    <phoneticPr fontId="1" type="noConversion"/>
  </si>
  <si>
    <r>
      <t>C</t>
    </r>
    <r>
      <rPr>
        <b/>
        <i/>
        <vertAlign val="subscript"/>
        <sz val="11"/>
        <rFont val="Times New Roman"/>
        <family val="1"/>
      </rPr>
      <t>BULK,selected</t>
    </r>
    <phoneticPr fontId="1" type="noConversion"/>
  </si>
  <si>
    <r>
      <t>V</t>
    </r>
    <r>
      <rPr>
        <b/>
        <i/>
        <vertAlign val="subscript"/>
        <sz val="11"/>
        <rFont val="Times New Roman"/>
        <family val="1"/>
      </rPr>
      <t>out,pk-pk</t>
    </r>
    <phoneticPr fontId="1" type="noConversion"/>
  </si>
  <si>
    <t>Cbulk.sel</t>
    <phoneticPr fontId="1" type="noConversion"/>
  </si>
  <si>
    <r>
      <t>V</t>
    </r>
    <r>
      <rPr>
        <b/>
        <i/>
        <vertAlign val="subscript"/>
        <sz val="11"/>
        <rFont val="Times New Roman"/>
        <family val="1"/>
      </rPr>
      <t>out,pk-pk,LL</t>
    </r>
    <phoneticPr fontId="1" type="noConversion"/>
  </si>
  <si>
    <t>PFC inductor</t>
    <phoneticPr fontId="1" type="noConversion"/>
  </si>
  <si>
    <t>Bulk capacitor</t>
    <phoneticPr fontId="1" type="noConversion"/>
  </si>
  <si>
    <t>Power devices</t>
    <phoneticPr fontId="1" type="noConversion"/>
  </si>
  <si>
    <r>
      <t>D</t>
    </r>
    <r>
      <rPr>
        <b/>
        <i/>
        <vertAlign val="subscript"/>
        <sz val="11"/>
        <rFont val="Times New Roman"/>
        <family val="1"/>
      </rPr>
      <t>BST</t>
    </r>
    <r>
      <rPr>
        <b/>
        <i/>
        <sz val="11"/>
        <rFont val="Times New Roman"/>
        <family val="1"/>
      </rPr>
      <t>, V</t>
    </r>
    <r>
      <rPr>
        <b/>
        <i/>
        <vertAlign val="subscript"/>
        <sz val="11"/>
        <rFont val="Times New Roman"/>
        <family val="1"/>
      </rPr>
      <t>off,max</t>
    </r>
    <phoneticPr fontId="1" type="noConversion"/>
  </si>
  <si>
    <t>ZCD sensing</t>
    <phoneticPr fontId="1" type="noConversion"/>
  </si>
  <si>
    <t>IC option</t>
    <phoneticPr fontId="1" type="noConversion"/>
  </si>
  <si>
    <t>ZCD sense</t>
    <phoneticPr fontId="1" type="noConversion"/>
  </si>
  <si>
    <t>Drain</t>
    <phoneticPr fontId="1" type="noConversion"/>
  </si>
  <si>
    <t>Aux.</t>
  </si>
  <si>
    <t>Aux.</t>
    <phoneticPr fontId="1" type="noConversion"/>
  </si>
  <si>
    <t>Ae</t>
    <phoneticPr fontId="1" type="noConversion"/>
  </si>
  <si>
    <r>
      <t>mm</t>
    </r>
    <r>
      <rPr>
        <vertAlign val="superscript"/>
        <sz val="11"/>
        <rFont val="Arial"/>
        <family val="2"/>
      </rPr>
      <t>2</t>
    </r>
    <phoneticPr fontId="1" type="noConversion"/>
  </si>
  <si>
    <t>T</t>
    <phoneticPr fontId="1" type="noConversion"/>
  </si>
  <si>
    <r>
      <t>L</t>
    </r>
    <r>
      <rPr>
        <b/>
        <i/>
        <vertAlign val="subscript"/>
        <sz val="11"/>
        <rFont val="Times New Roman"/>
        <family val="1"/>
      </rPr>
      <t>BST</t>
    </r>
    <r>
      <rPr>
        <b/>
        <i/>
        <sz val="11"/>
        <rFont val="Times New Roman"/>
        <family val="1"/>
      </rPr>
      <t xml:space="preserve"> I</t>
    </r>
    <r>
      <rPr>
        <b/>
        <i/>
        <vertAlign val="subscript"/>
        <sz val="11"/>
        <rFont val="Times New Roman"/>
        <family val="1"/>
      </rPr>
      <t>pk,max</t>
    </r>
    <phoneticPr fontId="1" type="noConversion"/>
  </si>
  <si>
    <r>
      <t>L</t>
    </r>
    <r>
      <rPr>
        <b/>
        <i/>
        <vertAlign val="subscript"/>
        <sz val="11"/>
        <rFont val="Times New Roman"/>
        <family val="1"/>
      </rPr>
      <t>BST</t>
    </r>
    <r>
      <rPr>
        <b/>
        <i/>
        <sz val="11"/>
        <rFont val="Times New Roman"/>
        <family val="1"/>
      </rPr>
      <t xml:space="preserve"> I</t>
    </r>
    <r>
      <rPr>
        <b/>
        <i/>
        <vertAlign val="subscript"/>
        <sz val="11"/>
        <rFont val="Times New Roman"/>
        <family val="1"/>
      </rPr>
      <t>rms,max</t>
    </r>
    <phoneticPr fontId="1" type="noConversion"/>
  </si>
  <si>
    <r>
      <t>C</t>
    </r>
    <r>
      <rPr>
        <b/>
        <i/>
        <vertAlign val="subscript"/>
        <sz val="11"/>
        <rFont val="Times New Roman"/>
        <family val="1"/>
      </rPr>
      <t>BULK</t>
    </r>
    <r>
      <rPr>
        <b/>
        <i/>
        <sz val="11"/>
        <rFont val="Times New Roman"/>
        <family val="1"/>
      </rPr>
      <t xml:space="preserve"> I</t>
    </r>
    <r>
      <rPr>
        <b/>
        <i/>
        <vertAlign val="subscript"/>
        <sz val="11"/>
        <rFont val="Times New Roman"/>
        <family val="1"/>
      </rPr>
      <t>rms,max</t>
    </r>
    <phoneticPr fontId="1" type="noConversion"/>
  </si>
  <si>
    <r>
      <t>L</t>
    </r>
    <r>
      <rPr>
        <b/>
        <i/>
        <vertAlign val="subscript"/>
        <sz val="11"/>
        <rFont val="Times New Roman"/>
        <family val="1"/>
      </rPr>
      <t>BST</t>
    </r>
    <r>
      <rPr>
        <b/>
        <i/>
        <sz val="11"/>
        <rFont val="Times New Roman"/>
        <family val="1"/>
      </rPr>
      <t xml:space="preserve"> Ae</t>
    </r>
    <phoneticPr fontId="1" type="noConversion"/>
  </si>
  <si>
    <r>
      <t>L</t>
    </r>
    <r>
      <rPr>
        <b/>
        <i/>
        <vertAlign val="subscript"/>
        <sz val="11"/>
        <rFont val="Times New Roman"/>
        <family val="1"/>
      </rPr>
      <t>BST</t>
    </r>
    <r>
      <rPr>
        <b/>
        <i/>
        <sz val="11"/>
        <rFont val="Times New Roman"/>
        <family val="1"/>
      </rPr>
      <t xml:space="preserve"> B</t>
    </r>
    <r>
      <rPr>
        <b/>
        <i/>
        <vertAlign val="subscript"/>
        <sz val="11"/>
        <rFont val="Times New Roman"/>
        <family val="1"/>
      </rPr>
      <t>max</t>
    </r>
    <phoneticPr fontId="1" type="noConversion"/>
  </si>
  <si>
    <t>turns</t>
    <phoneticPr fontId="1" type="noConversion"/>
  </si>
  <si>
    <r>
      <t>L</t>
    </r>
    <r>
      <rPr>
        <b/>
        <i/>
        <vertAlign val="subscript"/>
        <sz val="11"/>
        <rFont val="Times New Roman"/>
        <family val="1"/>
      </rPr>
      <t>BST</t>
    </r>
    <r>
      <rPr>
        <b/>
        <i/>
        <sz val="11"/>
        <rFont val="Times New Roman"/>
        <family val="1"/>
      </rPr>
      <t xml:space="preserve"> N</t>
    </r>
    <r>
      <rPr>
        <b/>
        <i/>
        <vertAlign val="subscript"/>
        <sz val="11"/>
        <rFont val="Times New Roman"/>
        <family val="1"/>
      </rPr>
      <t>P,selected</t>
    </r>
    <phoneticPr fontId="1" type="noConversion"/>
  </si>
  <si>
    <r>
      <t>L</t>
    </r>
    <r>
      <rPr>
        <b/>
        <i/>
        <vertAlign val="subscript"/>
        <sz val="11"/>
        <rFont val="Times New Roman"/>
        <family val="1"/>
      </rPr>
      <t>BST</t>
    </r>
    <r>
      <rPr>
        <b/>
        <i/>
        <sz val="11"/>
        <rFont val="Times New Roman"/>
        <family val="1"/>
      </rPr>
      <t xml:space="preserve"> N</t>
    </r>
    <r>
      <rPr>
        <b/>
        <i/>
        <vertAlign val="subscript"/>
        <sz val="11"/>
        <rFont val="Times New Roman"/>
        <family val="1"/>
      </rPr>
      <t>P,min</t>
    </r>
    <phoneticPr fontId="1" type="noConversion"/>
  </si>
  <si>
    <r>
      <t>L</t>
    </r>
    <r>
      <rPr>
        <b/>
        <i/>
        <vertAlign val="subscript"/>
        <sz val="11"/>
        <rFont val="Times New Roman"/>
        <family val="1"/>
      </rPr>
      <t>BST</t>
    </r>
    <r>
      <rPr>
        <b/>
        <i/>
        <sz val="11"/>
        <rFont val="Times New Roman"/>
        <family val="1"/>
      </rPr>
      <t xml:space="preserve"> N</t>
    </r>
    <r>
      <rPr>
        <b/>
        <i/>
        <vertAlign val="subscript"/>
        <sz val="11"/>
        <rFont val="Times New Roman"/>
        <family val="1"/>
      </rPr>
      <t>A</t>
    </r>
    <phoneticPr fontId="1" type="noConversion"/>
  </si>
  <si>
    <t>FB circuit</t>
    <phoneticPr fontId="1" type="noConversion"/>
  </si>
  <si>
    <t>IFB.LL</t>
    <phoneticPr fontId="1" type="noConversion"/>
  </si>
  <si>
    <r>
      <t>R</t>
    </r>
    <r>
      <rPr>
        <b/>
        <i/>
        <vertAlign val="subscript"/>
        <sz val="11"/>
        <rFont val="Times New Roman"/>
        <family val="1"/>
      </rPr>
      <t>FB</t>
    </r>
    <r>
      <rPr>
        <b/>
        <i/>
        <sz val="11"/>
        <rFont val="Times New Roman"/>
        <family val="1"/>
      </rPr>
      <t xml:space="preserve"> P</t>
    </r>
    <r>
      <rPr>
        <b/>
        <i/>
        <vertAlign val="subscript"/>
        <sz val="11"/>
        <rFont val="Times New Roman"/>
        <family val="1"/>
      </rPr>
      <t>D,max</t>
    </r>
    <phoneticPr fontId="1" type="noConversion"/>
  </si>
  <si>
    <t>Pd.RFB</t>
    <phoneticPr fontId="1" type="noConversion"/>
  </si>
  <si>
    <r>
      <t>R</t>
    </r>
    <r>
      <rPr>
        <b/>
        <i/>
        <vertAlign val="subscript"/>
        <sz val="11"/>
        <rFont val="Times New Roman"/>
        <family val="1"/>
      </rPr>
      <t>FB1</t>
    </r>
    <phoneticPr fontId="1" type="noConversion"/>
  </si>
  <si>
    <r>
      <t>R</t>
    </r>
    <r>
      <rPr>
        <b/>
        <i/>
        <vertAlign val="subscript"/>
        <sz val="11"/>
        <rFont val="Times New Roman"/>
        <family val="1"/>
      </rPr>
      <t>FB2</t>
    </r>
    <phoneticPr fontId="1" type="noConversion"/>
  </si>
  <si>
    <t>kohm</t>
    <phoneticPr fontId="1" type="noConversion"/>
  </si>
  <si>
    <t>ohm</t>
    <phoneticPr fontId="1" type="noConversion"/>
  </si>
  <si>
    <t>RFB1.LL</t>
    <phoneticPr fontId="1" type="noConversion"/>
  </si>
  <si>
    <t>Mohm</t>
    <phoneticPr fontId="1" type="noConversion"/>
  </si>
  <si>
    <t>RFB2.LL</t>
    <phoneticPr fontId="1" type="noConversion"/>
  </si>
  <si>
    <t>RFB.T</t>
    <phoneticPr fontId="1" type="noConversion"/>
  </si>
  <si>
    <t>RFB1.nom</t>
    <phoneticPr fontId="1" type="noConversion"/>
  </si>
  <si>
    <t>RFB2.nom</t>
    <phoneticPr fontId="1" type="noConversion"/>
  </si>
  <si>
    <r>
      <t>C</t>
    </r>
    <r>
      <rPr>
        <b/>
        <i/>
        <vertAlign val="subscript"/>
        <sz val="11"/>
        <rFont val="Times New Roman"/>
        <family val="1"/>
      </rPr>
      <t>FB,max</t>
    </r>
    <phoneticPr fontId="1" type="noConversion"/>
  </si>
  <si>
    <t>RFB1.f</t>
    <phoneticPr fontId="1" type="noConversion"/>
  </si>
  <si>
    <t>RFB2.f</t>
    <phoneticPr fontId="1" type="noConversion"/>
  </si>
  <si>
    <t>VCTRL circuit</t>
    <phoneticPr fontId="1" type="noConversion"/>
  </si>
  <si>
    <t>GEA</t>
    <phoneticPr fontId="1" type="noConversion"/>
  </si>
  <si>
    <t>S</t>
    <phoneticPr fontId="1" type="noConversion"/>
  </si>
  <si>
    <t>Rload</t>
    <phoneticPr fontId="1" type="noConversion"/>
  </si>
  <si>
    <t>Ro</t>
    <phoneticPr fontId="1" type="noConversion"/>
  </si>
  <si>
    <t>Go</t>
    <phoneticPr fontId="1" type="noConversion"/>
  </si>
  <si>
    <t>Ton.max.HL</t>
    <phoneticPr fontId="1" type="noConversion"/>
  </si>
  <si>
    <r>
      <t>f</t>
    </r>
    <r>
      <rPr>
        <b/>
        <i/>
        <vertAlign val="subscript"/>
        <sz val="11"/>
        <rFont val="Times New Roman"/>
        <family val="1"/>
      </rPr>
      <t>cross-over</t>
    </r>
    <phoneticPr fontId="1" type="noConversion"/>
  </si>
  <si>
    <r>
      <t>C</t>
    </r>
    <r>
      <rPr>
        <b/>
        <i/>
        <vertAlign val="subscript"/>
        <sz val="11"/>
        <rFont val="Times New Roman"/>
        <family val="1"/>
      </rPr>
      <t>Z</t>
    </r>
    <phoneticPr fontId="1" type="noConversion"/>
  </si>
  <si>
    <r>
      <rPr>
        <b/>
        <i/>
        <sz val="11"/>
        <rFont val="Arial"/>
        <family val="2"/>
      </rPr>
      <t>ɸ</t>
    </r>
    <r>
      <rPr>
        <b/>
        <i/>
        <vertAlign val="subscript"/>
        <sz val="11"/>
        <rFont val="Times New Roman"/>
        <family val="1"/>
      </rPr>
      <t>m</t>
    </r>
    <phoneticPr fontId="1" type="noConversion"/>
  </si>
  <si>
    <t>°</t>
    <phoneticPr fontId="1" type="noConversion"/>
  </si>
  <si>
    <r>
      <t>R</t>
    </r>
    <r>
      <rPr>
        <b/>
        <i/>
        <vertAlign val="subscript"/>
        <sz val="11"/>
        <rFont val="Times New Roman"/>
        <family val="1"/>
      </rPr>
      <t>Z</t>
    </r>
    <phoneticPr fontId="1" type="noConversion"/>
  </si>
  <si>
    <t>Cz</t>
    <phoneticPr fontId="1" type="noConversion"/>
  </si>
  <si>
    <t>Rz</t>
    <phoneticPr fontId="1" type="noConversion"/>
  </si>
  <si>
    <r>
      <t>C</t>
    </r>
    <r>
      <rPr>
        <b/>
        <i/>
        <vertAlign val="subscript"/>
        <sz val="11"/>
        <rFont val="Times New Roman"/>
        <family val="1"/>
      </rPr>
      <t>P</t>
    </r>
    <phoneticPr fontId="1" type="noConversion"/>
  </si>
  <si>
    <t>Cp</t>
    <phoneticPr fontId="1" type="noConversion"/>
  </si>
  <si>
    <r>
      <t>f</t>
    </r>
    <r>
      <rPr>
        <b/>
        <i/>
        <vertAlign val="subscript"/>
        <sz val="11"/>
        <rFont val="Times New Roman"/>
        <family val="1"/>
      </rPr>
      <t>P</t>
    </r>
    <phoneticPr fontId="1" type="noConversion"/>
  </si>
  <si>
    <t>CS/ZCD circuit</t>
    <phoneticPr fontId="1" type="noConversion"/>
  </si>
  <si>
    <r>
      <t>R</t>
    </r>
    <r>
      <rPr>
        <b/>
        <i/>
        <vertAlign val="subscript"/>
        <sz val="11"/>
        <rFont val="Times New Roman"/>
        <family val="1"/>
      </rPr>
      <t>SENSE,max</t>
    </r>
    <phoneticPr fontId="1" type="noConversion"/>
  </si>
  <si>
    <r>
      <t>R</t>
    </r>
    <r>
      <rPr>
        <b/>
        <i/>
        <vertAlign val="subscript"/>
        <sz val="11"/>
        <rFont val="Times New Roman"/>
        <family val="1"/>
      </rPr>
      <t>SENSE,selected</t>
    </r>
    <phoneticPr fontId="1" type="noConversion"/>
  </si>
  <si>
    <r>
      <t>R</t>
    </r>
    <r>
      <rPr>
        <b/>
        <i/>
        <vertAlign val="subscript"/>
        <sz val="11"/>
        <rFont val="Times New Roman"/>
        <family val="1"/>
      </rPr>
      <t>SENSE</t>
    </r>
    <r>
      <rPr>
        <b/>
        <i/>
        <sz val="11"/>
        <rFont val="Times New Roman"/>
        <family val="1"/>
      </rPr>
      <t>, P</t>
    </r>
    <r>
      <rPr>
        <b/>
        <i/>
        <vertAlign val="subscript"/>
        <sz val="11"/>
        <rFont val="Times New Roman"/>
        <family val="1"/>
      </rPr>
      <t>D,cond</t>
    </r>
    <phoneticPr fontId="1" type="noConversion"/>
  </si>
  <si>
    <r>
      <t>K</t>
    </r>
    <r>
      <rPr>
        <b/>
        <i/>
        <vertAlign val="subscript"/>
        <sz val="11"/>
        <rFont val="Times New Roman"/>
        <family val="1"/>
      </rPr>
      <t>CS</t>
    </r>
    <phoneticPr fontId="1" type="noConversion"/>
  </si>
  <si>
    <r>
      <t>R</t>
    </r>
    <r>
      <rPr>
        <b/>
        <i/>
        <vertAlign val="subscript"/>
        <sz val="11"/>
        <rFont val="Times New Roman"/>
        <family val="1"/>
      </rPr>
      <t>CS</t>
    </r>
    <r>
      <rPr>
        <b/>
        <i/>
        <sz val="11"/>
        <rFont val="Times New Roman"/>
        <family val="1"/>
      </rPr>
      <t xml:space="preserve"> P</t>
    </r>
    <r>
      <rPr>
        <b/>
        <i/>
        <vertAlign val="subscript"/>
        <sz val="11"/>
        <rFont val="Times New Roman"/>
        <family val="1"/>
      </rPr>
      <t>D,max</t>
    </r>
    <phoneticPr fontId="1" type="noConversion"/>
  </si>
  <si>
    <r>
      <t>R</t>
    </r>
    <r>
      <rPr>
        <b/>
        <i/>
        <vertAlign val="subscript"/>
        <sz val="11"/>
        <rFont val="Times New Roman"/>
        <family val="1"/>
      </rPr>
      <t>CS2,recommended</t>
    </r>
    <phoneticPr fontId="1" type="noConversion"/>
  </si>
  <si>
    <r>
      <t>R</t>
    </r>
    <r>
      <rPr>
        <b/>
        <i/>
        <vertAlign val="subscript"/>
        <sz val="11"/>
        <rFont val="Times New Roman"/>
        <family val="1"/>
      </rPr>
      <t>CS2,selected</t>
    </r>
    <phoneticPr fontId="1" type="noConversion"/>
  </si>
  <si>
    <r>
      <t>R</t>
    </r>
    <r>
      <rPr>
        <b/>
        <i/>
        <vertAlign val="subscript"/>
        <sz val="11"/>
        <rFont val="Times New Roman"/>
        <family val="1"/>
      </rPr>
      <t>CS1</t>
    </r>
    <phoneticPr fontId="1" type="noConversion"/>
  </si>
  <si>
    <t>Rcs2</t>
    <phoneticPr fontId="1" type="noConversion"/>
  </si>
  <si>
    <t>Rcs1.drain</t>
    <phoneticPr fontId="1" type="noConversion"/>
  </si>
  <si>
    <t>Rcs1.aux</t>
    <phoneticPr fontId="1" type="noConversion"/>
  </si>
  <si>
    <r>
      <t>R</t>
    </r>
    <r>
      <rPr>
        <b/>
        <i/>
        <vertAlign val="subscript"/>
        <sz val="11"/>
        <rFont val="Times New Roman"/>
        <family val="1"/>
      </rPr>
      <t>CS</t>
    </r>
    <r>
      <rPr>
        <b/>
        <i/>
        <sz val="11"/>
        <rFont val="Times New Roman"/>
        <family val="1"/>
      </rPr>
      <t>, P</t>
    </r>
    <r>
      <rPr>
        <b/>
        <i/>
        <vertAlign val="subscript"/>
        <sz val="11"/>
        <rFont val="Times New Roman"/>
        <family val="1"/>
      </rPr>
      <t>D,max</t>
    </r>
    <phoneticPr fontId="1" type="noConversion"/>
  </si>
  <si>
    <t>Pd.RCS.drain</t>
    <phoneticPr fontId="1" type="noConversion"/>
  </si>
  <si>
    <t>Pd.RCS.aux</t>
    <phoneticPr fontId="1" type="noConversion"/>
  </si>
  <si>
    <r>
      <t>D</t>
    </r>
    <r>
      <rPr>
        <b/>
        <i/>
        <vertAlign val="subscript"/>
        <sz val="11"/>
        <rFont val="Times New Roman"/>
        <family val="1"/>
      </rPr>
      <t>AUX</t>
    </r>
    <r>
      <rPr>
        <b/>
        <i/>
        <sz val="11"/>
        <rFont val="Times New Roman"/>
        <family val="1"/>
      </rPr>
      <t>, V</t>
    </r>
    <r>
      <rPr>
        <b/>
        <i/>
        <vertAlign val="subscript"/>
        <sz val="11"/>
        <rFont val="Times New Roman"/>
        <family val="1"/>
      </rPr>
      <t>off,max</t>
    </r>
    <phoneticPr fontId="1" type="noConversion"/>
  </si>
  <si>
    <r>
      <t>C</t>
    </r>
    <r>
      <rPr>
        <b/>
        <i/>
        <vertAlign val="subscript"/>
        <sz val="11"/>
        <rFont val="Times New Roman"/>
        <family val="1"/>
      </rPr>
      <t>AUX,recommended</t>
    </r>
    <phoneticPr fontId="1" type="noConversion"/>
  </si>
  <si>
    <r>
      <t>R</t>
    </r>
    <r>
      <rPr>
        <b/>
        <i/>
        <vertAlign val="subscript"/>
        <sz val="11"/>
        <rFont val="Times New Roman"/>
        <family val="1"/>
      </rPr>
      <t>AUX,recommended</t>
    </r>
    <phoneticPr fontId="1" type="noConversion"/>
  </si>
  <si>
    <r>
      <t>C</t>
    </r>
    <r>
      <rPr>
        <b/>
        <i/>
        <vertAlign val="subscript"/>
        <sz val="11"/>
        <rFont val="Times New Roman"/>
        <family val="1"/>
      </rPr>
      <t>AUX,selected</t>
    </r>
    <phoneticPr fontId="1" type="noConversion"/>
  </si>
  <si>
    <t>Caux.recom</t>
    <phoneticPr fontId="1" type="noConversion"/>
  </si>
  <si>
    <t>Caux.sel</t>
    <phoneticPr fontId="1" type="noConversion"/>
  </si>
  <si>
    <r>
      <t>V</t>
    </r>
    <r>
      <rPr>
        <b/>
        <i/>
        <vertAlign val="subscript"/>
        <sz val="11"/>
        <rFont val="Times New Roman"/>
        <family val="1"/>
      </rPr>
      <t>line,min</t>
    </r>
    <phoneticPr fontId="1" type="noConversion"/>
  </si>
  <si>
    <r>
      <t>V</t>
    </r>
    <r>
      <rPr>
        <b/>
        <i/>
        <vertAlign val="subscript"/>
        <sz val="11"/>
        <rFont val="Times New Roman"/>
        <family val="1"/>
      </rPr>
      <t>line,max</t>
    </r>
    <phoneticPr fontId="1" type="noConversion"/>
  </si>
  <si>
    <t>VCS(HL)</t>
    <phoneticPr fontId="1" type="noConversion"/>
  </si>
  <si>
    <t>VCS(LL)</t>
    <phoneticPr fontId="1" type="noConversion"/>
  </si>
  <si>
    <r>
      <t>V</t>
    </r>
    <r>
      <rPr>
        <b/>
        <i/>
        <vertAlign val="subscript"/>
        <sz val="11"/>
        <rFont val="Times New Roman"/>
        <family val="1"/>
      </rPr>
      <t>line,BO,EN</t>
    </r>
    <phoneticPr fontId="1" type="noConversion"/>
  </si>
  <si>
    <r>
      <t>V</t>
    </r>
    <r>
      <rPr>
        <b/>
        <i/>
        <vertAlign val="subscript"/>
        <sz val="11"/>
        <rFont val="Times New Roman"/>
        <family val="1"/>
      </rPr>
      <t>line,HL,TH</t>
    </r>
    <phoneticPr fontId="1" type="noConversion"/>
  </si>
  <si>
    <r>
      <t>V</t>
    </r>
    <r>
      <rPr>
        <b/>
        <i/>
        <vertAlign val="subscript"/>
        <sz val="11"/>
        <rFont val="Times New Roman"/>
        <family val="1"/>
      </rPr>
      <t>line,LL,TH</t>
    </r>
    <phoneticPr fontId="1" type="noConversion"/>
  </si>
  <si>
    <r>
      <t>V</t>
    </r>
    <r>
      <rPr>
        <b/>
        <i/>
        <vertAlign val="subscript"/>
        <sz val="11"/>
        <rFont val="Times New Roman"/>
        <family val="1"/>
      </rPr>
      <t>line,BO,EX</t>
    </r>
    <phoneticPr fontId="1" type="noConversion"/>
  </si>
  <si>
    <t>VCS(BO-EN)</t>
    <phoneticPr fontId="1" type="noConversion"/>
  </si>
  <si>
    <t>VCS(BO-EX)</t>
    <phoneticPr fontId="1" type="noConversion"/>
  </si>
  <si>
    <t>NA</t>
    <phoneticPr fontId="1" type="noConversion"/>
  </si>
  <si>
    <r>
      <t>V</t>
    </r>
    <r>
      <rPr>
        <b/>
        <i/>
        <vertAlign val="subscript"/>
        <sz val="11"/>
        <rFont val="Times New Roman"/>
        <family val="1"/>
      </rPr>
      <t>line,UVP,EN</t>
    </r>
    <phoneticPr fontId="1" type="noConversion"/>
  </si>
  <si>
    <r>
      <t>V</t>
    </r>
    <r>
      <rPr>
        <b/>
        <i/>
        <vertAlign val="subscript"/>
        <sz val="11"/>
        <rFont val="Times New Roman"/>
        <family val="1"/>
      </rPr>
      <t>line,UVP,EX</t>
    </r>
    <phoneticPr fontId="1" type="noConversion"/>
  </si>
  <si>
    <r>
      <t>V</t>
    </r>
    <r>
      <rPr>
        <b/>
        <i/>
        <vertAlign val="subscript"/>
        <sz val="11"/>
        <rFont val="Times New Roman"/>
        <family val="1"/>
      </rPr>
      <t>line,UVP,EN,LL</t>
    </r>
    <phoneticPr fontId="1" type="noConversion"/>
  </si>
  <si>
    <r>
      <t>V</t>
    </r>
    <r>
      <rPr>
        <b/>
        <i/>
        <vertAlign val="subscript"/>
        <sz val="11"/>
        <rFont val="Times New Roman"/>
        <family val="1"/>
      </rPr>
      <t>line,UVP,EX,LL</t>
    </r>
    <phoneticPr fontId="1" type="noConversion"/>
  </si>
  <si>
    <r>
      <t>V</t>
    </r>
    <r>
      <rPr>
        <b/>
        <i/>
        <vertAlign val="subscript"/>
        <sz val="11"/>
        <rFont val="Times New Roman"/>
        <family val="1"/>
      </rPr>
      <t>line,OVP2</t>
    </r>
    <phoneticPr fontId="1" type="noConversion"/>
  </si>
  <si>
    <t>VCS(OVP2)</t>
    <phoneticPr fontId="1" type="noConversion"/>
  </si>
  <si>
    <t>Ics.pk</t>
    <phoneticPr fontId="1" type="noConversion"/>
  </si>
  <si>
    <t>freq</t>
    <phoneticPr fontId="1" type="noConversion"/>
  </si>
  <si>
    <t>fo</t>
    <phoneticPr fontId="1" type="noConversion"/>
  </si>
  <si>
    <t>fz</t>
    <phoneticPr fontId="1" type="noConversion"/>
  </si>
  <si>
    <t>fp2</t>
    <phoneticPr fontId="1" type="noConversion"/>
  </si>
  <si>
    <t>control to output</t>
    <phoneticPr fontId="1" type="noConversion"/>
  </si>
  <si>
    <t>compensator</t>
    <phoneticPr fontId="1" type="noConversion"/>
  </si>
  <si>
    <t>closed loop</t>
    <phoneticPr fontId="1" type="noConversion"/>
  </si>
  <si>
    <r>
      <t>m</t>
    </r>
    <r>
      <rPr>
        <vertAlign val="superscript"/>
        <sz val="10"/>
        <color theme="0"/>
        <rFont val="Arial"/>
        <family val="2"/>
      </rPr>
      <t>2</t>
    </r>
    <phoneticPr fontId="1" type="noConversion"/>
  </si>
  <si>
    <r>
      <rPr>
        <b/>
        <sz val="15"/>
        <color indexed="9"/>
        <rFont val="Arial"/>
        <family val="2"/>
      </rPr>
      <t>NCP1623 Design Tool</t>
    </r>
    <r>
      <rPr>
        <b/>
        <sz val="11"/>
        <color indexed="9"/>
        <rFont val="Arial"/>
        <family val="2"/>
      </rPr>
      <t xml:space="preserve">
Update : 9th in Jun. 2022</t>
    </r>
    <phoneticPr fontId="1" type="noConversion"/>
  </si>
  <si>
    <t>Time</t>
    <phoneticPr fontId="1" type="noConversion"/>
  </si>
  <si>
    <t>Step</t>
    <phoneticPr fontId="1" type="noConversion"/>
  </si>
  <si>
    <t>Vin</t>
    <phoneticPr fontId="1" type="noConversion"/>
  </si>
  <si>
    <r>
      <t>V</t>
    </r>
    <r>
      <rPr>
        <b/>
        <i/>
        <vertAlign val="subscript"/>
        <sz val="11"/>
        <rFont val="Times New Roman"/>
        <family val="1"/>
      </rPr>
      <t>line</t>
    </r>
    <phoneticPr fontId="1" type="noConversion"/>
  </si>
  <si>
    <t>Rdt(calc)</t>
  </si>
  <si>
    <t>Tdt(0.75V)</t>
  </si>
  <si>
    <t>Tdt(0.63V)</t>
  </si>
  <si>
    <t>B</t>
    <phoneticPr fontId="1" type="noConversion"/>
  </si>
  <si>
    <t>A, C</t>
  </si>
  <si>
    <t>CDT</t>
  </si>
  <si>
    <t>VCTRL(FF-EX)</t>
    <phoneticPr fontId="1" type="noConversion"/>
  </si>
  <si>
    <t>IC option</t>
    <phoneticPr fontId="1" type="noConversion"/>
  </si>
  <si>
    <t>VCTRL(FF)</t>
    <phoneticPr fontId="1" type="noConversion"/>
  </si>
  <si>
    <t>Rdt</t>
    <phoneticPr fontId="1" type="noConversion"/>
  </si>
  <si>
    <r>
      <t>V</t>
    </r>
    <r>
      <rPr>
        <b/>
        <i/>
        <vertAlign val="subscript"/>
        <sz val="11"/>
        <rFont val="Times New Roman"/>
        <family val="1"/>
      </rPr>
      <t>out</t>
    </r>
    <phoneticPr fontId="1" type="noConversion"/>
  </si>
  <si>
    <r>
      <t>L</t>
    </r>
    <r>
      <rPr>
        <b/>
        <i/>
        <vertAlign val="subscript"/>
        <sz val="11"/>
        <rFont val="Times New Roman"/>
        <family val="1"/>
      </rPr>
      <t>BST</t>
    </r>
    <phoneticPr fontId="1" type="noConversion"/>
  </si>
  <si>
    <t>Ton.max</t>
    <phoneticPr fontId="1" type="noConversion"/>
  </si>
  <si>
    <t>sec</t>
    <phoneticPr fontId="1" type="noConversion"/>
  </si>
  <si>
    <t>Iout.max</t>
    <phoneticPr fontId="1" type="noConversion"/>
  </si>
  <si>
    <t>A</t>
    <phoneticPr fontId="1" type="noConversion"/>
  </si>
  <si>
    <t>Pin.ff</t>
    <phoneticPr fontId="1" type="noConversion"/>
  </si>
  <si>
    <t>W</t>
    <phoneticPr fontId="1" type="noConversion"/>
  </si>
  <si>
    <t>Pout.ff</t>
    <phoneticPr fontId="1" type="noConversion"/>
  </si>
  <si>
    <t>Iout.ff</t>
    <phoneticPr fontId="1" type="noConversion"/>
  </si>
  <si>
    <r>
      <t>Load</t>
    </r>
    <r>
      <rPr>
        <b/>
        <i/>
        <vertAlign val="subscript"/>
        <sz val="11"/>
        <rFont val="Times New Roman"/>
        <family val="1"/>
      </rPr>
      <t>condition1</t>
    </r>
    <phoneticPr fontId="1" type="noConversion"/>
  </si>
  <si>
    <r>
      <t>Load</t>
    </r>
    <r>
      <rPr>
        <b/>
        <i/>
        <vertAlign val="subscript"/>
        <sz val="11"/>
        <rFont val="Times New Roman"/>
        <family val="1"/>
      </rPr>
      <t>condition2</t>
    </r>
    <phoneticPr fontId="1" type="noConversion"/>
  </si>
  <si>
    <r>
      <t>Load</t>
    </r>
    <r>
      <rPr>
        <b/>
        <i/>
        <vertAlign val="subscript"/>
        <sz val="11"/>
        <rFont val="Times New Roman"/>
        <family val="1"/>
      </rPr>
      <t>condition3</t>
    </r>
    <phoneticPr fontId="1" type="noConversion"/>
  </si>
  <si>
    <r>
      <t>Load</t>
    </r>
    <r>
      <rPr>
        <b/>
        <i/>
        <vertAlign val="subscript"/>
        <sz val="11"/>
        <rFont val="Times New Roman"/>
        <family val="1"/>
      </rPr>
      <t>condition4</t>
    </r>
    <phoneticPr fontId="1" type="noConversion"/>
  </si>
  <si>
    <t>Vctrl.con1</t>
    <phoneticPr fontId="1" type="noConversion"/>
  </si>
  <si>
    <t>Vctrl.con2</t>
    <phoneticPr fontId="1" type="noConversion"/>
  </si>
  <si>
    <t>Vctrl.con3</t>
    <phoneticPr fontId="1" type="noConversion"/>
  </si>
  <si>
    <t>Vctrl.con4</t>
    <phoneticPr fontId="1" type="noConversion"/>
  </si>
  <si>
    <t>V</t>
    <phoneticPr fontId="1" type="noConversion"/>
  </si>
  <si>
    <t>Frequency simulation condition</t>
    <phoneticPr fontId="1" type="noConversion"/>
  </si>
  <si>
    <t>Frquency simulation</t>
    <phoneticPr fontId="1" type="noConversion"/>
  </si>
  <si>
    <t>tDT equation = C_DT*Rdt*(Vctrl(FF-EX) - Vctrl)/(Vctrl - 0.5)</t>
    <phoneticPr fontId="1" type="noConversion"/>
  </si>
  <si>
    <t>tdt.con1</t>
    <phoneticPr fontId="1" type="noConversion"/>
  </si>
  <si>
    <t>tdt.con2</t>
    <phoneticPr fontId="1" type="noConversion"/>
  </si>
  <si>
    <t>tdt.con3</t>
    <phoneticPr fontId="1" type="noConversion"/>
  </si>
  <si>
    <t>tdt.con4</t>
    <phoneticPr fontId="1" type="noConversion"/>
  </si>
  <si>
    <t>Ts</t>
    <phoneticPr fontId="1" type="noConversion"/>
  </si>
  <si>
    <t>ton.con1</t>
    <phoneticPr fontId="1" type="noConversion"/>
  </si>
  <si>
    <t>ton.con2</t>
  </si>
  <si>
    <t>ton.con3</t>
  </si>
  <si>
    <t>ton.con4</t>
  </si>
  <si>
    <t>Ts.con1</t>
    <phoneticPr fontId="1" type="noConversion"/>
  </si>
  <si>
    <t>ton2.cond1</t>
    <phoneticPr fontId="1" type="noConversion"/>
  </si>
  <si>
    <t>Ts.con2</t>
    <phoneticPr fontId="1" type="noConversion"/>
  </si>
  <si>
    <t>ton2.cond2</t>
    <phoneticPr fontId="1" type="noConversion"/>
  </si>
  <si>
    <t>Ts.con3</t>
    <phoneticPr fontId="1" type="noConversion"/>
  </si>
  <si>
    <t>ton2.cond3</t>
    <phoneticPr fontId="1" type="noConversion"/>
  </si>
  <si>
    <t>Ts.con4</t>
    <phoneticPr fontId="1" type="noConversion"/>
  </si>
  <si>
    <t>ton2.cond4</t>
    <phoneticPr fontId="1" type="noConversion"/>
  </si>
  <si>
    <t>fsw.load1</t>
    <phoneticPr fontId="1" type="noConversion"/>
  </si>
  <si>
    <t>fsw.load2</t>
    <phoneticPr fontId="1" type="noConversion"/>
  </si>
  <si>
    <t>fsw.load3</t>
    <phoneticPr fontId="1" type="noConversion"/>
  </si>
  <si>
    <t>fsw.load4</t>
    <phoneticPr fontId="1" type="noConversion"/>
  </si>
  <si>
    <r>
      <t>Load</t>
    </r>
    <r>
      <rPr>
        <b/>
        <i/>
        <vertAlign val="subscript"/>
        <sz val="11"/>
        <rFont val="Times New Roman"/>
        <family val="1"/>
      </rPr>
      <t>FF.boundary</t>
    </r>
    <phoneticPr fontId="1" type="noConversion"/>
  </si>
  <si>
    <t>Load</t>
    <phoneticPr fontId="1" type="noConversion"/>
  </si>
  <si>
    <t>ton</t>
    <phoneticPr fontId="1" type="noConversion"/>
  </si>
  <si>
    <t>tdt</t>
    <phoneticPr fontId="1" type="noConversion"/>
  </si>
  <si>
    <t>ton2</t>
    <phoneticPr fontId="1" type="noConversion"/>
  </si>
  <si>
    <t>fsw [kHz]</t>
    <phoneticPr fontId="1" type="noConversion"/>
  </si>
  <si>
    <t>Vctrl [V]</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</si>
</sst>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_ "/>
    <numFmt numFmtId="179" formatCode="0_);[Red]\(0\)"/>
    <numFmt numFmtId="180" formatCode="0.000_ "/>
  </numFmts>
  <fonts count="31" x14ac:knownFonts="1">
    <font>
      <sz val="10"/>
      <name val="Arial"/>
      <family val="2"/>
    </font>
    <font>
      <sz val="8"/>
      <name val="Arial"/>
      <family val="2"/>
    </font>
    <font>
      <sz val="10"/>
      <name val="Arial"/>
      <family val="2"/>
    </font>
    <font>
      <sz val="20"/>
      <name val="Arial"/>
      <family val="2"/>
    </font>
    <font>
      <sz val="9"/>
      <color indexed="81"/>
      <name val="Tahoma"/>
      <family val="2"/>
    </font>
    <font>
      <b/>
      <sz val="9"/>
      <color indexed="81"/>
      <name val="Tahoma"/>
      <family val="2"/>
    </font>
    <font>
      <b/>
      <sz val="11"/>
      <name val="Arial"/>
      <family val="2"/>
    </font>
    <font>
      <b/>
      <sz val="11"/>
      <color indexed="9"/>
      <name val="Arial"/>
      <family val="2"/>
    </font>
    <font>
      <sz val="11"/>
      <name val="Arial"/>
      <family val="2"/>
    </font>
    <font>
      <b/>
      <i/>
      <sz val="11"/>
      <color indexed="10"/>
      <name val="Arial"/>
      <family val="2"/>
    </font>
    <font>
      <vertAlign val="subscript"/>
      <sz val="11"/>
      <name val="Arial"/>
      <family val="2"/>
    </font>
    <font>
      <b/>
      <sz val="15"/>
      <color indexed="9"/>
      <name val="Arial"/>
      <family val="2"/>
    </font>
    <font>
      <sz val="11"/>
      <color theme="1"/>
      <name val="Arial"/>
      <family val="2"/>
    </font>
    <font>
      <b/>
      <sz val="11"/>
      <color theme="0"/>
      <name val="Arial"/>
      <family val="2"/>
    </font>
    <font>
      <sz val="11"/>
      <color rgb="FFFF0000"/>
      <name val="Arial"/>
      <family val="2"/>
    </font>
    <font>
      <b/>
      <i/>
      <sz val="11"/>
      <color rgb="FFFF0000"/>
      <name val="Arial"/>
      <family val="2"/>
    </font>
    <font>
      <sz val="20"/>
      <color rgb="FFFF0000"/>
      <name val="Arial"/>
      <family val="2"/>
    </font>
    <font>
      <sz val="10"/>
      <color rgb="FFFF0000"/>
      <name val="Arial"/>
      <family val="2"/>
    </font>
    <font>
      <b/>
      <sz val="12"/>
      <color rgb="FFFF0000"/>
      <name val="Arial"/>
      <family val="2"/>
    </font>
    <font>
      <b/>
      <i/>
      <sz val="11"/>
      <name val="Times New Roman"/>
      <family val="1"/>
    </font>
    <font>
      <b/>
      <i/>
      <vertAlign val="subscript"/>
      <sz val="11"/>
      <name val="Times New Roman"/>
      <family val="1"/>
    </font>
    <font>
      <b/>
      <i/>
      <sz val="11"/>
      <name val="Arial"/>
      <family val="2"/>
    </font>
    <font>
      <b/>
      <i/>
      <sz val="8"/>
      <name val="Arial"/>
      <family val="2"/>
    </font>
    <font>
      <vertAlign val="superscript"/>
      <sz val="11"/>
      <name val="Arial"/>
      <family val="2"/>
    </font>
    <font>
      <b/>
      <i/>
      <sz val="11"/>
      <name val="Times New Roman"/>
      <family val="2"/>
    </font>
    <font>
      <sz val="11"/>
      <name val="Calibri"/>
      <family val="2"/>
    </font>
    <font>
      <sz val="8"/>
      <color theme="0"/>
      <name val="Arial"/>
      <family val="2"/>
    </font>
    <font>
      <sz val="20"/>
      <color theme="0"/>
      <name val="Arial"/>
      <family val="2"/>
    </font>
    <font>
      <sz val="10"/>
      <color theme="0"/>
      <name val="Arial"/>
      <family val="2"/>
    </font>
    <font>
      <vertAlign val="superscript"/>
      <sz val="10"/>
      <color theme="0"/>
      <name val="Arial"/>
      <family val="2"/>
    </font>
    <font>
      <sz val="8"/>
      <color rgb="FFFF000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3" fillId="0" borderId="0" xfId="0" applyFont="1" applyFill="1" applyAlignment="1" applyProtection="1">
      <alignment vertical="center"/>
      <protection hidden="1"/>
    </xf>
    <xf numFmtId="0" fontId="2" fillId="0" borderId="0" xfId="0" applyFont="1" applyFill="1" applyAlignment="1" applyProtection="1">
      <alignment vertical="center"/>
      <protection hidden="1"/>
    </xf>
    <xf numFmtId="0" fontId="8" fillId="0" borderId="0" xfId="0" applyFont="1" applyFill="1" applyBorder="1" applyAlignment="1" applyProtection="1">
      <alignment horizontal="left" vertical="center" wrapText="1"/>
      <protection hidden="1"/>
    </xf>
    <xf numFmtId="0" fontId="6" fillId="0" borderId="0" xfId="0" applyFont="1" applyFill="1" applyBorder="1" applyAlignment="1" applyProtection="1">
      <alignment vertical="center"/>
      <protection hidden="1"/>
    </xf>
    <xf numFmtId="1" fontId="8" fillId="2" borderId="1"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hidden="1"/>
    </xf>
    <xf numFmtId="1" fontId="12" fillId="2" borderId="1"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protection hidden="1"/>
    </xf>
    <xf numFmtId="1" fontId="8" fillId="3" borderId="1" xfId="0" applyNumberFormat="1" applyFont="1" applyFill="1" applyBorder="1" applyAlignment="1" applyProtection="1">
      <alignment horizontal="center" vertical="center"/>
      <protection hidden="1"/>
    </xf>
    <xf numFmtId="2" fontId="8" fillId="3" borderId="1" xfId="0" applyNumberFormat="1" applyFont="1" applyFill="1" applyBorder="1" applyAlignment="1" applyProtection="1">
      <alignment horizontal="center" vertical="center"/>
      <protection hidden="1"/>
    </xf>
    <xf numFmtId="0" fontId="8" fillId="4" borderId="1" xfId="0" applyFont="1" applyFill="1" applyBorder="1" applyAlignment="1" applyProtection="1">
      <alignment horizontal="center" vertical="center"/>
      <protection hidden="1"/>
    </xf>
    <xf numFmtId="0" fontId="8" fillId="5" borderId="1" xfId="0"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center" wrapText="1"/>
      <protection hidden="1"/>
    </xf>
    <xf numFmtId="0" fontId="15" fillId="0" borderId="0" xfId="0" applyFont="1" applyFill="1" applyBorder="1" applyAlignment="1" applyProtection="1">
      <alignment horizontal="center" vertical="center"/>
      <protection hidden="1"/>
    </xf>
    <xf numFmtId="0" fontId="16" fillId="0" borderId="0" xfId="0" applyFont="1" applyFill="1" applyAlignment="1" applyProtection="1">
      <alignment vertical="center"/>
      <protection hidden="1"/>
    </xf>
    <xf numFmtId="0" fontId="17" fillId="0" borderId="0" xfId="0" applyFont="1" applyFill="1" applyAlignment="1" applyProtection="1">
      <alignment vertical="center"/>
      <protection hidden="1"/>
    </xf>
    <xf numFmtId="0" fontId="18" fillId="0" borderId="0" xfId="0" applyFont="1" applyFill="1" applyBorder="1" applyAlignment="1" applyProtection="1">
      <alignment vertical="center" wrapText="1"/>
      <protection hidden="1"/>
    </xf>
    <xf numFmtId="0" fontId="16" fillId="0" borderId="0" xfId="0" applyFont="1" applyFill="1" applyBorder="1" applyAlignment="1" applyProtection="1">
      <alignment vertical="center"/>
      <protection hidden="1"/>
    </xf>
    <xf numFmtId="0" fontId="19" fillId="4" borderId="1" xfId="0" applyFont="1" applyFill="1" applyBorder="1" applyAlignment="1" applyProtection="1">
      <alignment horizontal="center" vertical="center"/>
      <protection hidden="1"/>
    </xf>
    <xf numFmtId="0" fontId="8" fillId="2" borderId="1" xfId="0" applyNumberFormat="1"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hidden="1"/>
    </xf>
    <xf numFmtId="0" fontId="1" fillId="0" borderId="0" xfId="0" applyFont="1" applyFill="1" applyAlignment="1" applyProtection="1">
      <alignment vertical="center"/>
      <protection hidden="1"/>
    </xf>
    <xf numFmtId="0" fontId="22" fillId="0" borderId="0" xfId="0" applyFont="1" applyFill="1" applyBorder="1" applyAlignment="1" applyProtection="1">
      <alignment horizontal="center" vertical="center"/>
      <protection hidden="1"/>
    </xf>
    <xf numFmtId="0" fontId="22" fillId="0" borderId="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0" xfId="0" applyFont="1" applyFill="1" applyAlignment="1" applyProtection="1">
      <alignment horizontal="center" vertical="center"/>
      <protection hidden="1"/>
    </xf>
    <xf numFmtId="176" fontId="8" fillId="3" borderId="1" xfId="0" applyNumberFormat="1" applyFont="1" applyFill="1" applyBorder="1" applyAlignment="1" applyProtection="1">
      <alignment horizontal="center" vertical="center"/>
      <protection hidden="1"/>
    </xf>
    <xf numFmtId="177" fontId="8" fillId="3" borderId="1" xfId="0" applyNumberFormat="1" applyFont="1" applyFill="1" applyBorder="1" applyAlignment="1" applyProtection="1">
      <alignment horizontal="center" vertical="center"/>
      <protection hidden="1"/>
    </xf>
    <xf numFmtId="178" fontId="8" fillId="3" borderId="1" xfId="0" applyNumberFormat="1" applyFont="1" applyFill="1" applyBorder="1" applyAlignment="1" applyProtection="1">
      <alignment horizontal="center" vertical="center"/>
      <protection hidden="1"/>
    </xf>
    <xf numFmtId="0" fontId="24" fillId="4" borderId="1" xfId="0" applyFont="1" applyFill="1" applyBorder="1" applyAlignment="1" applyProtection="1">
      <alignment horizontal="center" vertical="center"/>
      <protection hidden="1"/>
    </xf>
    <xf numFmtId="0" fontId="25" fillId="4" borderId="1" xfId="0" applyFont="1" applyFill="1" applyBorder="1" applyAlignment="1" applyProtection="1">
      <alignment horizontal="center" vertical="center"/>
      <protection hidden="1"/>
    </xf>
    <xf numFmtId="180" fontId="8" fillId="3" borderId="1" xfId="0" applyNumberFormat="1" applyFont="1" applyFill="1" applyBorder="1" applyAlignment="1" applyProtection="1">
      <alignment horizontal="center" vertical="center"/>
      <protection hidden="1"/>
    </xf>
    <xf numFmtId="180" fontId="8" fillId="2" borderId="1" xfId="0" applyNumberFormat="1" applyFont="1" applyFill="1" applyBorder="1" applyAlignment="1" applyProtection="1">
      <alignment horizontal="center" vertical="center"/>
      <protection locked="0"/>
    </xf>
    <xf numFmtId="178" fontId="8" fillId="2" borderId="1" xfId="0" applyNumberFormat="1" applyFont="1" applyFill="1" applyBorder="1" applyAlignment="1" applyProtection="1">
      <alignment horizontal="center" vertical="center"/>
      <protection locked="0"/>
    </xf>
    <xf numFmtId="176" fontId="8" fillId="2" borderId="1" xfId="0" applyNumberFormat="1" applyFont="1" applyFill="1" applyBorder="1" applyAlignment="1" applyProtection="1">
      <alignment horizontal="center" vertical="center"/>
      <protection locked="0"/>
    </xf>
    <xf numFmtId="0" fontId="0" fillId="0" borderId="0" xfId="0" applyFont="1" applyFill="1" applyAlignment="1" applyProtection="1">
      <alignment vertical="center"/>
      <protection hidden="1"/>
    </xf>
    <xf numFmtId="0" fontId="0" fillId="0" borderId="0" xfId="0" applyFont="1" applyFill="1" applyAlignment="1" applyProtection="1">
      <alignment horizontal="center" vertical="center"/>
      <protection hidden="1"/>
    </xf>
    <xf numFmtId="0" fontId="26" fillId="0" borderId="0" xfId="0" applyFont="1" applyFill="1" applyAlignment="1" applyProtection="1">
      <alignment horizontal="center" vertical="center"/>
      <protection hidden="1"/>
    </xf>
    <xf numFmtId="0" fontId="27" fillId="0" borderId="0" xfId="0" applyFont="1" applyFill="1" applyBorder="1" applyAlignment="1" applyProtection="1">
      <alignment vertical="center"/>
      <protection hidden="1"/>
    </xf>
    <xf numFmtId="0" fontId="28" fillId="0" borderId="0" xfId="0" applyFont="1" applyFill="1" applyAlignment="1" applyProtection="1">
      <alignment vertical="center"/>
      <protection hidden="1"/>
    </xf>
    <xf numFmtId="179" fontId="26" fillId="0" borderId="0" xfId="0" applyNumberFormat="1" applyFont="1" applyFill="1" applyAlignment="1" applyProtection="1">
      <alignment horizontal="center" vertical="center"/>
      <protection hidden="1"/>
    </xf>
    <xf numFmtId="0" fontId="27" fillId="0" borderId="0" xfId="0" applyFont="1" applyFill="1" applyAlignment="1" applyProtection="1">
      <alignment vertical="center"/>
      <protection hidden="1"/>
    </xf>
    <xf numFmtId="0" fontId="26" fillId="0" borderId="0" xfId="0" applyFont="1" applyFill="1" applyAlignment="1" applyProtection="1">
      <alignment vertical="center"/>
      <protection hidden="1"/>
    </xf>
    <xf numFmtId="0" fontId="30" fillId="0" borderId="0" xfId="0" applyFont="1" applyFill="1" applyAlignment="1" applyProtection="1">
      <alignment horizontal="center" vertical="center"/>
      <protection hidden="1"/>
    </xf>
    <xf numFmtId="0" fontId="13" fillId="6" borderId="2" xfId="0" applyFont="1" applyFill="1" applyBorder="1" applyAlignment="1" applyProtection="1">
      <alignment horizontal="center" vertical="center"/>
      <protection hidden="1"/>
    </xf>
    <xf numFmtId="0" fontId="13" fillId="6" borderId="3" xfId="0" applyFont="1" applyFill="1" applyBorder="1" applyAlignment="1" applyProtection="1">
      <alignment horizontal="center" vertical="center"/>
      <protection hidden="1"/>
    </xf>
    <xf numFmtId="0" fontId="13" fillId="6" borderId="4" xfId="0" applyFont="1" applyFill="1" applyBorder="1" applyAlignment="1" applyProtection="1">
      <alignment horizontal="center" vertical="center"/>
      <protection hidden="1"/>
    </xf>
    <xf numFmtId="0" fontId="13" fillId="7" borderId="3" xfId="0" applyFont="1" applyFill="1" applyBorder="1" applyAlignment="1" applyProtection="1">
      <alignment horizontal="center" vertical="center"/>
      <protection hidden="1"/>
    </xf>
    <xf numFmtId="0" fontId="13" fillId="7" borderId="4" xfId="0" applyFont="1" applyFill="1" applyBorder="1" applyAlignment="1" applyProtection="1">
      <alignment horizontal="center" vertical="center"/>
      <protection hidden="1"/>
    </xf>
    <xf numFmtId="0" fontId="7" fillId="6" borderId="0" xfId="0" applyFont="1" applyFill="1" applyBorder="1" applyAlignment="1" applyProtection="1">
      <alignment horizontal="center" vertical="center" wrapText="1"/>
      <protection hidden="1"/>
    </xf>
    <xf numFmtId="0" fontId="13" fillId="6" borderId="0" xfId="0" applyFont="1" applyFill="1" applyBorder="1" applyAlignment="1" applyProtection="1">
      <alignment horizontal="center" vertical="center"/>
      <protection hidden="1"/>
    </xf>
  </cellXfs>
  <cellStyles count="1">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ko-KR"/>
              <a:t>Gain [dB]</a:t>
            </a:r>
            <a:endParaRPr lang="ko-KR"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o-KR"/>
        </a:p>
      </c:txPr>
    </c:title>
    <c:autoTitleDeleted val="0"/>
    <c:plotArea>
      <c:layout>
        <c:manualLayout>
          <c:layoutTarget val="inner"/>
          <c:xMode val="edge"/>
          <c:yMode val="edge"/>
          <c:x val="8.7903857969345189E-2"/>
          <c:y val="0.12928165002134615"/>
          <c:w val="0.84915548497249771"/>
          <c:h val="0.71481526843641308"/>
        </c:manualLayout>
      </c:layout>
      <c:scatterChart>
        <c:scatterStyle val="lineMarker"/>
        <c:varyColors val="0"/>
        <c:ser>
          <c:idx val="0"/>
          <c:order val="0"/>
          <c:tx>
            <c:strRef>
              <c:f>'NCP1623 design tool'!$AA$57</c:f>
              <c:strCache>
                <c:ptCount val="1"/>
                <c:pt idx="0">
                  <c:v>control to output</c:v>
                </c:pt>
              </c:strCache>
            </c:strRef>
          </c:tx>
          <c:spPr>
            <a:ln w="19050" cap="rnd">
              <a:solidFill>
                <a:schemeClr val="accent1"/>
              </a:solidFill>
              <a:round/>
            </a:ln>
            <a:effectLst/>
          </c:spPr>
          <c:marker>
            <c:symbol val="none"/>
          </c:marker>
          <c:xVal>
            <c:numRef>
              <c:f>'NCP1623 design tool'!$Z$58:$Z$197</c:f>
              <c:numCache>
                <c:formatCode>General</c:formatCode>
                <c:ptCount val="140"/>
                <c:pt idx="0">
                  <c:v>1.1220184543019637E-3</c:v>
                </c:pt>
                <c:pt idx="1">
                  <c:v>1.2589254117941673E-3</c:v>
                </c:pt>
                <c:pt idx="2">
                  <c:v>1.4125375446227544E-3</c:v>
                </c:pt>
                <c:pt idx="3">
                  <c:v>1.5848931924611136E-3</c:v>
                </c:pt>
                <c:pt idx="4">
                  <c:v>1.778279410038923E-3</c:v>
                </c:pt>
                <c:pt idx="5">
                  <c:v>1.9952623149688798E-3</c:v>
                </c:pt>
                <c:pt idx="6">
                  <c:v>2.2387211385683395E-3</c:v>
                </c:pt>
                <c:pt idx="7">
                  <c:v>2.5118864315095807E-3</c:v>
                </c:pt>
                <c:pt idx="8">
                  <c:v>2.8183829312644544E-3</c:v>
                </c:pt>
                <c:pt idx="9">
                  <c:v>3.1622776601683794E-3</c:v>
                </c:pt>
                <c:pt idx="10">
                  <c:v>3.5481338923357554E-3</c:v>
                </c:pt>
                <c:pt idx="11">
                  <c:v>3.9810717055349725E-3</c:v>
                </c:pt>
                <c:pt idx="12">
                  <c:v>4.4668359215096322E-3</c:v>
                </c:pt>
                <c:pt idx="13">
                  <c:v>5.0118723362727229E-3</c:v>
                </c:pt>
                <c:pt idx="14">
                  <c:v>5.6234132519034918E-3</c:v>
                </c:pt>
                <c:pt idx="15">
                  <c:v>6.3095734448019346E-3</c:v>
                </c:pt>
                <c:pt idx="16">
                  <c:v>7.0794578438413795E-3</c:v>
                </c:pt>
                <c:pt idx="17">
                  <c:v>7.9432823472428173E-3</c:v>
                </c:pt>
                <c:pt idx="18">
                  <c:v>8.9125093813374572E-3</c:v>
                </c:pt>
                <c:pt idx="19">
                  <c:v>0.01</c:v>
                </c:pt>
                <c:pt idx="20">
                  <c:v>1.1220184543019636E-2</c:v>
                </c:pt>
                <c:pt idx="21">
                  <c:v>1.258925411794168E-2</c:v>
                </c:pt>
                <c:pt idx="22">
                  <c:v>1.4125375446227544E-2</c:v>
                </c:pt>
                <c:pt idx="23">
                  <c:v>1.5848931924611138E-2</c:v>
                </c:pt>
                <c:pt idx="24">
                  <c:v>1.7782794100389236E-2</c:v>
                </c:pt>
                <c:pt idx="25">
                  <c:v>1.9952623149688806E-2</c:v>
                </c:pt>
                <c:pt idx="26">
                  <c:v>2.2387211385683406E-2</c:v>
                </c:pt>
                <c:pt idx="27">
                  <c:v>2.5118864315095798E-2</c:v>
                </c:pt>
                <c:pt idx="28">
                  <c:v>2.818382931264455E-2</c:v>
                </c:pt>
                <c:pt idx="29">
                  <c:v>3.1622776601683805E-2</c:v>
                </c:pt>
                <c:pt idx="30">
                  <c:v>3.5481338923357558E-2</c:v>
                </c:pt>
                <c:pt idx="31">
                  <c:v>3.9810717055349755E-2</c:v>
                </c:pt>
                <c:pt idx="32">
                  <c:v>4.4668359215096327E-2</c:v>
                </c:pt>
                <c:pt idx="33">
                  <c:v>5.0118723362727241E-2</c:v>
                </c:pt>
                <c:pt idx="34">
                  <c:v>5.6234132519034918E-2</c:v>
                </c:pt>
                <c:pt idx="35">
                  <c:v>6.3095734448019372E-2</c:v>
                </c:pt>
                <c:pt idx="36">
                  <c:v>7.0794578438413872E-2</c:v>
                </c:pt>
                <c:pt idx="37">
                  <c:v>7.9432823472428193E-2</c:v>
                </c:pt>
                <c:pt idx="38">
                  <c:v>8.9125093813374565E-2</c:v>
                </c:pt>
                <c:pt idx="39">
                  <c:v>0.1</c:v>
                </c:pt>
                <c:pt idx="40">
                  <c:v>0.11220184543019635</c:v>
                </c:pt>
                <c:pt idx="41">
                  <c:v>0.12589254117941678</c:v>
                </c:pt>
                <c:pt idx="42">
                  <c:v>0.14125375446227542</c:v>
                </c:pt>
                <c:pt idx="43">
                  <c:v>0.15848931924611154</c:v>
                </c:pt>
                <c:pt idx="44">
                  <c:v>0.17782794100389243</c:v>
                </c:pt>
                <c:pt idx="45">
                  <c:v>0.19952623149688803</c:v>
                </c:pt>
                <c:pt idx="46">
                  <c:v>0.22387211385683412</c:v>
                </c:pt>
                <c:pt idx="47">
                  <c:v>0.25118864315095807</c:v>
                </c:pt>
                <c:pt idx="48">
                  <c:v>0.28183829312644554</c:v>
                </c:pt>
                <c:pt idx="49">
                  <c:v>0.31622776601683827</c:v>
                </c:pt>
                <c:pt idx="50">
                  <c:v>0.35481338923357569</c:v>
                </c:pt>
                <c:pt idx="51">
                  <c:v>0.39810717055349759</c:v>
                </c:pt>
                <c:pt idx="52">
                  <c:v>0.44668359215096332</c:v>
                </c:pt>
                <c:pt idx="53">
                  <c:v>0.50118723362727269</c:v>
                </c:pt>
                <c:pt idx="54">
                  <c:v>0.56234132519034929</c:v>
                </c:pt>
                <c:pt idx="55">
                  <c:v>0.63095734448019325</c:v>
                </c:pt>
                <c:pt idx="56">
                  <c:v>0.7079457843841388</c:v>
                </c:pt>
                <c:pt idx="57">
                  <c:v>0.79432823472428205</c:v>
                </c:pt>
                <c:pt idx="58">
                  <c:v>0.89125093813374656</c:v>
                </c:pt>
                <c:pt idx="59">
                  <c:v>1</c:v>
                </c:pt>
                <c:pt idx="60">
                  <c:v>1.1220184543019636</c:v>
                </c:pt>
                <c:pt idx="61">
                  <c:v>1.2589254117941679</c:v>
                </c:pt>
                <c:pt idx="62">
                  <c:v>1.4125375446227546</c:v>
                </c:pt>
                <c:pt idx="63">
                  <c:v>1.5848931924611156</c:v>
                </c:pt>
                <c:pt idx="64">
                  <c:v>1.7782794100389245</c:v>
                </c:pt>
                <c:pt idx="65">
                  <c:v>1.9952623149688804</c:v>
                </c:pt>
                <c:pt idx="66">
                  <c:v>2.2387211385683417</c:v>
                </c:pt>
                <c:pt idx="67">
                  <c:v>2.511886431509581</c:v>
                </c:pt>
                <c:pt idx="68">
                  <c:v>2.8183829312644564</c:v>
                </c:pt>
                <c:pt idx="69">
                  <c:v>3.1622776601683804</c:v>
                </c:pt>
                <c:pt idx="70">
                  <c:v>3.5481338923357542</c:v>
                </c:pt>
                <c:pt idx="71">
                  <c:v>3.9810717055349771</c:v>
                </c:pt>
                <c:pt idx="72">
                  <c:v>4.4668359215096345</c:v>
                </c:pt>
                <c:pt idx="73">
                  <c:v>5.0118723362727327</c:v>
                </c:pt>
                <c:pt idx="74">
                  <c:v>5.6234132519034992</c:v>
                </c:pt>
                <c:pt idx="75">
                  <c:v>6.3095734448019387</c:v>
                </c:pt>
                <c:pt idx="76">
                  <c:v>7.0794578438413831</c:v>
                </c:pt>
                <c:pt idx="77">
                  <c:v>7.9432823472428158</c:v>
                </c:pt>
                <c:pt idx="78">
                  <c:v>8.9125093813374683</c:v>
                </c:pt>
                <c:pt idx="79">
                  <c:v>10</c:v>
                </c:pt>
                <c:pt idx="80">
                  <c:v>11.22018454301964</c:v>
                </c:pt>
                <c:pt idx="81">
                  <c:v>12.589254117941671</c:v>
                </c:pt>
                <c:pt idx="82">
                  <c:v>14.125375446227562</c:v>
                </c:pt>
                <c:pt idx="83">
                  <c:v>15.848931924611147</c:v>
                </c:pt>
                <c:pt idx="84">
                  <c:v>17.782794100389236</c:v>
                </c:pt>
                <c:pt idx="85">
                  <c:v>19.952623149688794</c:v>
                </c:pt>
                <c:pt idx="86">
                  <c:v>22.387211385683383</c:v>
                </c:pt>
                <c:pt idx="87">
                  <c:v>25.118864315095859</c:v>
                </c:pt>
                <c:pt idx="88">
                  <c:v>28.183829312644594</c:v>
                </c:pt>
                <c:pt idx="89">
                  <c:v>31.622776601683839</c:v>
                </c:pt>
                <c:pt idx="90">
                  <c:v>35.481338923357583</c:v>
                </c:pt>
                <c:pt idx="91">
                  <c:v>39.810717055349741</c:v>
                </c:pt>
                <c:pt idx="92">
                  <c:v>44.668359215096388</c:v>
                </c:pt>
                <c:pt idx="93">
                  <c:v>50.118723362727295</c:v>
                </c:pt>
                <c:pt idx="94">
                  <c:v>56.234132519034951</c:v>
                </c:pt>
                <c:pt idx="95">
                  <c:v>63.095734448019343</c:v>
                </c:pt>
                <c:pt idx="96">
                  <c:v>70.79457843841378</c:v>
                </c:pt>
                <c:pt idx="97">
                  <c:v>79.43282347242824</c:v>
                </c:pt>
                <c:pt idx="98">
                  <c:v>89.125093813374605</c:v>
                </c:pt>
                <c:pt idx="99">
                  <c:v>100</c:v>
                </c:pt>
                <c:pt idx="100">
                  <c:v>112.20184543019651</c:v>
                </c:pt>
                <c:pt idx="101">
                  <c:v>125.89254117941685</c:v>
                </c:pt>
                <c:pt idx="102">
                  <c:v>141.25375446227577</c:v>
                </c:pt>
                <c:pt idx="103">
                  <c:v>158.48931924611165</c:v>
                </c:pt>
                <c:pt idx="104">
                  <c:v>177.82794100389251</c:v>
                </c:pt>
                <c:pt idx="105">
                  <c:v>199.52623149688813</c:v>
                </c:pt>
                <c:pt idx="106">
                  <c:v>223.87211385683403</c:v>
                </c:pt>
                <c:pt idx="107">
                  <c:v>251.18864315095846</c:v>
                </c:pt>
                <c:pt idx="108">
                  <c:v>281.83829312644576</c:v>
                </c:pt>
                <c:pt idx="109">
                  <c:v>316.22776601683819</c:v>
                </c:pt>
                <c:pt idx="110">
                  <c:v>354.81338923357555</c:v>
                </c:pt>
                <c:pt idx="111">
                  <c:v>398.10717055349716</c:v>
                </c:pt>
                <c:pt idx="112">
                  <c:v>446.68359215096444</c:v>
                </c:pt>
                <c:pt idx="113">
                  <c:v>501.18723362727349</c:v>
                </c:pt>
                <c:pt idx="114">
                  <c:v>562.34132519035018</c:v>
                </c:pt>
                <c:pt idx="115">
                  <c:v>630.95734448019414</c:v>
                </c:pt>
                <c:pt idx="116">
                  <c:v>707.94578438413851</c:v>
                </c:pt>
                <c:pt idx="117">
                  <c:v>794.32823472428333</c:v>
                </c:pt>
                <c:pt idx="118">
                  <c:v>891.25093813374713</c:v>
                </c:pt>
                <c:pt idx="119">
                  <c:v>1000</c:v>
                </c:pt>
                <c:pt idx="120">
                  <c:v>1122.0184543019643</c:v>
                </c:pt>
                <c:pt idx="121">
                  <c:v>1258.9254117941678</c:v>
                </c:pt>
                <c:pt idx="122">
                  <c:v>1412.5375446227565</c:v>
                </c:pt>
                <c:pt idx="123">
                  <c:v>1584.8931924611154</c:v>
                </c:pt>
                <c:pt idx="124">
                  <c:v>1778.2794100389242</c:v>
                </c:pt>
                <c:pt idx="125">
                  <c:v>1995.26231496888</c:v>
                </c:pt>
                <c:pt idx="126">
                  <c:v>2238.721138568339</c:v>
                </c:pt>
                <c:pt idx="127">
                  <c:v>2511.8864315095871</c:v>
                </c:pt>
                <c:pt idx="128">
                  <c:v>2818.3829312644607</c:v>
                </c:pt>
                <c:pt idx="129">
                  <c:v>3162.2776601683854</c:v>
                </c:pt>
                <c:pt idx="130">
                  <c:v>3548.1338923357594</c:v>
                </c:pt>
                <c:pt idx="131">
                  <c:v>3981.071705534976</c:v>
                </c:pt>
                <c:pt idx="132">
                  <c:v>4466.8359215096416</c:v>
                </c:pt>
                <c:pt idx="133">
                  <c:v>5011.8723362727314</c:v>
                </c:pt>
                <c:pt idx="134">
                  <c:v>5623.4132519034974</c:v>
                </c:pt>
                <c:pt idx="135">
                  <c:v>6309.5734448019375</c:v>
                </c:pt>
                <c:pt idx="136">
                  <c:v>7079.4578438413819</c:v>
                </c:pt>
                <c:pt idx="137">
                  <c:v>7943.2823472428281</c:v>
                </c:pt>
                <c:pt idx="138">
                  <c:v>8912.509381337466</c:v>
                </c:pt>
                <c:pt idx="139">
                  <c:v>10000</c:v>
                </c:pt>
              </c:numCache>
            </c:numRef>
          </c:xVal>
          <c:yVal>
            <c:numRef>
              <c:f>'NCP1623 design tool'!$AA$58:$AA$197</c:f>
              <c:numCache>
                <c:formatCode>General</c:formatCode>
                <c:ptCount val="140"/>
                <c:pt idx="0">
                  <c:v>52.561849158400342</c:v>
                </c:pt>
                <c:pt idx="1">
                  <c:v>52.561849008936925</c:v>
                </c:pt>
                <c:pt idx="2">
                  <c:v>52.561848820773633</c:v>
                </c:pt>
                <c:pt idx="3">
                  <c:v>52.56184858389009</c:v>
                </c:pt>
                <c:pt idx="4">
                  <c:v>52.561848285671402</c:v>
                </c:pt>
                <c:pt idx="5">
                  <c:v>52.561847910236352</c:v>
                </c:pt>
                <c:pt idx="6">
                  <c:v>52.561847437591666</c:v>
                </c:pt>
                <c:pt idx="7">
                  <c:v>52.561846842567334</c:v>
                </c:pt>
                <c:pt idx="8">
                  <c:v>52.561846093476191</c:v>
                </c:pt>
                <c:pt idx="9">
                  <c:v>52.561845150426507</c:v>
                </c:pt>
                <c:pt idx="10">
                  <c:v>52.561843963197589</c:v>
                </c:pt>
                <c:pt idx="11">
                  <c:v>52.561842468565388</c:v>
                </c:pt>
                <c:pt idx="12">
                  <c:v>52.561840586935666</c:v>
                </c:pt>
                <c:pt idx="13">
                  <c:v>52.561838218105343</c:v>
                </c:pt>
                <c:pt idx="14">
                  <c:v>52.561835235926502</c:v>
                </c:pt>
                <c:pt idx="15">
                  <c:v>52.561831481588683</c:v>
                </c:pt>
                <c:pt idx="16">
                  <c:v>52.561826755162016</c:v>
                </c:pt>
                <c:pt idx="17">
                  <c:v>52.561820804950692</c:v>
                </c:pt>
                <c:pt idx="18">
                  <c:v>52.561813314090038</c:v>
                </c:pt>
                <c:pt idx="19">
                  <c:v>52.561803883673583</c:v>
                </c:pt>
                <c:pt idx="20">
                  <c:v>52.56179201151177</c:v>
                </c:pt>
                <c:pt idx="21">
                  <c:v>52.56177706539173</c:v>
                </c:pt>
                <c:pt idx="22">
                  <c:v>52.561758249414538</c:v>
                </c:pt>
                <c:pt idx="23">
                  <c:v>52.561734561618614</c:v>
                </c:pt>
                <c:pt idx="24">
                  <c:v>52.561704740634092</c:v>
                </c:pt>
                <c:pt idx="25">
                  <c:v>52.561667198530024</c:v>
                </c:pt>
                <c:pt idx="26">
                  <c:v>52.561619936282646</c:v>
                </c:pt>
                <c:pt idx="27">
                  <c:v>52.561560437369728</c:v>
                </c:pt>
                <c:pt idx="28">
                  <c:v>52.561485533835331</c:v>
                </c:pt>
                <c:pt idx="29">
                  <c:v>52.56139123770933</c:v>
                </c:pt>
                <c:pt idx="30">
                  <c:v>52.561272528831225</c:v>
                </c:pt>
                <c:pt idx="31">
                  <c:v>52.561123087821571</c:v>
                </c:pt>
                <c:pt idx="32">
                  <c:v>52.560934960048513</c:v>
                </c:pt>
                <c:pt idx="33">
                  <c:v>52.560698132801349</c:v>
                </c:pt>
                <c:pt idx="34">
                  <c:v>52.560400003323821</c:v>
                </c:pt>
                <c:pt idx="35">
                  <c:v>52.56002470964652</c:v>
                </c:pt>
                <c:pt idx="36">
                  <c:v>52.559552289008309</c:v>
                </c:pt>
                <c:pt idx="37">
                  <c:v>52.558957619723536</c:v>
                </c:pt>
                <c:pt idx="38">
                  <c:v>52.558209091212085</c:v>
                </c:pt>
                <c:pt idx="39">
                  <c:v>52.557266933054819</c:v>
                </c:pt>
                <c:pt idx="40">
                  <c:v>52.556081116761305</c:v>
                </c:pt>
                <c:pt idx="41">
                  <c:v>52.554588722734636</c:v>
                </c:pt>
                <c:pt idx="42">
                  <c:v>52.552710638889657</c:v>
                </c:pt>
                <c:pt idx="43">
                  <c:v>52.550347425655076</c:v>
                </c:pt>
                <c:pt idx="44">
                  <c:v>52.54737414378809</c:v>
                </c:pt>
                <c:pt idx="45">
                  <c:v>52.543633895775713</c:v>
                </c:pt>
                <c:pt idx="46">
                  <c:v>52.538929778127709</c:v>
                </c:pt>
                <c:pt idx="47">
                  <c:v>52.533014880783561</c:v>
                </c:pt>
                <c:pt idx="48">
                  <c:v>52.52557990260194</c:v>
                </c:pt>
                <c:pt idx="49">
                  <c:v>52.516237882063173</c:v>
                </c:pt>
                <c:pt idx="50">
                  <c:v>52.50450547701351</c:v>
                </c:pt>
                <c:pt idx="51">
                  <c:v>52.48978017919822</c:v>
                </c:pt>
                <c:pt idx="52">
                  <c:v>52.471312839581117</c:v>
                </c:pt>
                <c:pt idx="53">
                  <c:v>52.448174942353177</c:v>
                </c:pt>
                <c:pt idx="54">
                  <c:v>52.419220249158172</c:v>
                </c:pt>
                <c:pt idx="55">
                  <c:v>52.383040811732691</c:v>
                </c:pt>
                <c:pt idx="56">
                  <c:v>52.337918015973003</c:v>
                </c:pt>
                <c:pt idx="57">
                  <c:v>52.28177038874496</c:v>
                </c:pt>
                <c:pt idx="58">
                  <c:v>52.212101489401249</c:v>
                </c:pt>
                <c:pt idx="59">
                  <c:v>52.125953402666795</c:v>
                </c:pt>
                <c:pt idx="60">
                  <c:v>52.019874115629264</c:v>
                </c:pt>
                <c:pt idx="61">
                  <c:v>51.889910130546767</c:v>
                </c:pt>
                <c:pt idx="62">
                  <c:v>51.731638380349374</c:v>
                </c:pt>
                <c:pt idx="63">
                  <c:v>51.540252706572296</c:v>
                </c:pt>
                <c:pt idx="64">
                  <c:v>51.310718185749316</c:v>
                </c:pt>
                <c:pt idx="65">
                  <c:v>51.037999714882893</c:v>
                </c:pt>
                <c:pt idx="66">
                  <c:v>50.717358539584168</c:v>
                </c:pt>
                <c:pt idx="67">
                  <c:v>50.34469290172477</c:v>
                </c:pt>
                <c:pt idx="68">
                  <c:v>49.916880751522726</c:v>
                </c:pt>
                <c:pt idx="69">
                  <c:v>49.432070180080991</c:v>
                </c:pt>
                <c:pt idx="70">
                  <c:v>48.889863718550629</c:v>
                </c:pt>
                <c:pt idx="71">
                  <c:v>48.291359057323604</c:v>
                </c:pt>
                <c:pt idx="72">
                  <c:v>47.639037591604144</c:v>
                </c:pt>
                <c:pt idx="73">
                  <c:v>46.936524043806564</c:v>
                </c:pt>
                <c:pt idx="74">
                  <c:v>46.188264277048575</c:v>
                </c:pt>
                <c:pt idx="75">
                  <c:v>45.399177308957434</c:v>
                </c:pt>
                <c:pt idx="76">
                  <c:v>44.574331288873886</c:v>
                </c:pt>
                <c:pt idx="77">
                  <c:v>43.718677187085191</c:v>
                </c:pt>
                <c:pt idx="78">
                  <c:v>42.836855351799571</c:v>
                </c:pt>
                <c:pt idx="79">
                  <c:v>41.93307452592812</c:v>
                </c:pt>
                <c:pt idx="80">
                  <c:v>41.011052968009771</c:v>
                </c:pt>
                <c:pt idx="81">
                  <c:v>40.074006950210901</c:v>
                </c:pt>
                <c:pt idx="82">
                  <c:v>39.124671650826116</c:v>
                </c:pt>
                <c:pt idx="83">
                  <c:v>38.165341549130886</c:v>
                </c:pt>
                <c:pt idx="84">
                  <c:v>37.197920424910997</c:v>
                </c:pt>
                <c:pt idx="85">
                  <c:v>36.223974045577108</c:v>
                </c:pt>
                <c:pt idx="86">
                  <c:v>35.244781136122548</c:v>
                </c:pt>
                <c:pt idx="87">
                  <c:v>34.261380131821795</c:v>
                </c:pt>
                <c:pt idx="88">
                  <c:v>33.274610544148501</c:v>
                </c:pt>
                <c:pt idx="89">
                  <c:v>32.285148633235167</c:v>
                </c:pt>
                <c:pt idx="90">
                  <c:v>31.293537595817362</c:v>
                </c:pt>
                <c:pt idx="91">
                  <c:v>30.300212752867441</c:v>
                </c:pt>
                <c:pt idx="92">
                  <c:v>29.305522339862993</c:v>
                </c:pt>
                <c:pt idx="93">
                  <c:v>28.309744525650629</c:v>
                </c:pt>
                <c:pt idx="94">
                  <c:v>27.313101254735294</c:v>
                </c:pt>
                <c:pt idx="95">
                  <c:v>26.315769449586277</c:v>
                </c:pt>
                <c:pt idx="96">
                  <c:v>25.317890040926521</c:v>
                </c:pt>
                <c:pt idx="97">
                  <c:v>24.319575224720289</c:v>
                </c:pt>
                <c:pt idx="98">
                  <c:v>23.320914279940407</c:v>
                </c:pt>
                <c:pt idx="99">
                  <c:v>22.321978223616288</c:v>
                </c:pt>
                <c:pt idx="100">
                  <c:v>21.322823529905758</c:v>
                </c:pt>
                <c:pt idx="101">
                  <c:v>20.323495097828982</c:v>
                </c:pt>
                <c:pt idx="102">
                  <c:v>19.32402861720788</c:v>
                </c:pt>
                <c:pt idx="103">
                  <c:v>18.324452453426925</c:v>
                </c:pt>
                <c:pt idx="104">
                  <c:v>17.324789147982123</c:v>
                </c:pt>
                <c:pt idx="105">
                  <c:v>16.32505661257705</c:v>
                </c:pt>
                <c:pt idx="106">
                  <c:v>15.325269078995916</c:v>
                </c:pt>
                <c:pt idx="107">
                  <c:v>14.325437854479091</c:v>
                </c:pt>
                <c:pt idx="108">
                  <c:v>13.325571922285064</c:v>
                </c:pt>
                <c:pt idx="109">
                  <c:v>12.325678419078216</c:v>
                </c:pt>
                <c:pt idx="110">
                  <c:v>11.325763014349025</c:v>
                </c:pt>
                <c:pt idx="111">
                  <c:v>10.325830211935479</c:v>
                </c:pt>
                <c:pt idx="112">
                  <c:v>9.325883589616641</c:v>
                </c:pt>
                <c:pt idx="113">
                  <c:v>8.3259259894834514</c:v>
                </c:pt>
                <c:pt idx="114">
                  <c:v>7.3259596691898068</c:v>
                </c:pt>
                <c:pt idx="115">
                  <c:v>6.3259864221176372</c:v>
                </c:pt>
                <c:pt idx="116">
                  <c:v>5.3260076728410208</c:v>
                </c:pt>
                <c:pt idx="117">
                  <c:v>4.3260245529647001</c:v>
                </c:pt>
                <c:pt idx="118">
                  <c:v>3.3260379613703144</c:v>
                </c:pt>
                <c:pt idx="119">
                  <c:v>2.3260486120749904</c:v>
                </c:pt>
                <c:pt idx="120">
                  <c:v>1.3260570722490275</c:v>
                </c:pt>
                <c:pt idx="121">
                  <c:v>0.32606379241589067</c:v>
                </c:pt>
                <c:pt idx="122">
                  <c:v>-0.67393086955843007</c:v>
                </c:pt>
                <c:pt idx="123">
                  <c:v>-1.673926629409229</c:v>
                </c:pt>
                <c:pt idx="124">
                  <c:v>-2.6739232613360469</c:v>
                </c:pt>
                <c:pt idx="125">
                  <c:v>-3.673920585978558</c:v>
                </c:pt>
                <c:pt idx="126">
                  <c:v>-4.6739184608653916</c:v>
                </c:pt>
                <c:pt idx="127">
                  <c:v>-5.673916772827293</c:v>
                </c:pt>
                <c:pt idx="128">
                  <c:v>-6.6739154319704763</c:v>
                </c:pt>
                <c:pt idx="129">
                  <c:v>-7.6739143668897505</c:v>
                </c:pt>
                <c:pt idx="130">
                  <c:v>-8.6739135208658702</c:v>
                </c:pt>
                <c:pt idx="131">
                  <c:v>-9.6739128488451005</c:v>
                </c:pt>
                <c:pt idx="132">
                  <c:v>-10.673912315039967</c:v>
                </c:pt>
                <c:pt idx="133">
                  <c:v>-11.673911891023415</c:v>
                </c:pt>
                <c:pt idx="134">
                  <c:v>-12.673911554215069</c:v>
                </c:pt>
                <c:pt idx="135">
                  <c:v>-13.673911286678671</c:v>
                </c:pt>
                <c:pt idx="136">
                  <c:v>-14.673911074166943</c:v>
                </c:pt>
                <c:pt idx="137">
                  <c:v>-15.673910905362883</c:v>
                </c:pt>
                <c:pt idx="138">
                  <c:v>-16.673910771277036</c:v>
                </c:pt>
                <c:pt idx="139">
                  <c:v>-17.673910664768851</c:v>
                </c:pt>
              </c:numCache>
            </c:numRef>
          </c:yVal>
          <c:smooth val="0"/>
          <c:extLst>
            <c:ext xmlns:c16="http://schemas.microsoft.com/office/drawing/2014/chart" uri="{C3380CC4-5D6E-409C-BE32-E72D297353CC}">
              <c16:uniqueId val="{00000000-4483-4707-8A74-9FBF4317CBB8}"/>
            </c:ext>
          </c:extLst>
        </c:ser>
        <c:ser>
          <c:idx val="1"/>
          <c:order val="1"/>
          <c:tx>
            <c:strRef>
              <c:f>'NCP1623 design tool'!$AC$57</c:f>
              <c:strCache>
                <c:ptCount val="1"/>
                <c:pt idx="0">
                  <c:v>compensator</c:v>
                </c:pt>
              </c:strCache>
            </c:strRef>
          </c:tx>
          <c:spPr>
            <a:ln w="19050" cap="rnd">
              <a:solidFill>
                <a:schemeClr val="accent2"/>
              </a:solidFill>
              <a:round/>
            </a:ln>
            <a:effectLst/>
          </c:spPr>
          <c:marker>
            <c:symbol val="none"/>
          </c:marker>
          <c:xVal>
            <c:numRef>
              <c:f>'NCP1623 design tool'!$Z$58:$Z$197</c:f>
              <c:numCache>
                <c:formatCode>General</c:formatCode>
                <c:ptCount val="140"/>
                <c:pt idx="0">
                  <c:v>1.1220184543019637E-3</c:v>
                </c:pt>
                <c:pt idx="1">
                  <c:v>1.2589254117941673E-3</c:v>
                </c:pt>
                <c:pt idx="2">
                  <c:v>1.4125375446227544E-3</c:v>
                </c:pt>
                <c:pt idx="3">
                  <c:v>1.5848931924611136E-3</c:v>
                </c:pt>
                <c:pt idx="4">
                  <c:v>1.778279410038923E-3</c:v>
                </c:pt>
                <c:pt idx="5">
                  <c:v>1.9952623149688798E-3</c:v>
                </c:pt>
                <c:pt idx="6">
                  <c:v>2.2387211385683395E-3</c:v>
                </c:pt>
                <c:pt idx="7">
                  <c:v>2.5118864315095807E-3</c:v>
                </c:pt>
                <c:pt idx="8">
                  <c:v>2.8183829312644544E-3</c:v>
                </c:pt>
                <c:pt idx="9">
                  <c:v>3.1622776601683794E-3</c:v>
                </c:pt>
                <c:pt idx="10">
                  <c:v>3.5481338923357554E-3</c:v>
                </c:pt>
                <c:pt idx="11">
                  <c:v>3.9810717055349725E-3</c:v>
                </c:pt>
                <c:pt idx="12">
                  <c:v>4.4668359215096322E-3</c:v>
                </c:pt>
                <c:pt idx="13">
                  <c:v>5.0118723362727229E-3</c:v>
                </c:pt>
                <c:pt idx="14">
                  <c:v>5.6234132519034918E-3</c:v>
                </c:pt>
                <c:pt idx="15">
                  <c:v>6.3095734448019346E-3</c:v>
                </c:pt>
                <c:pt idx="16">
                  <c:v>7.0794578438413795E-3</c:v>
                </c:pt>
                <c:pt idx="17">
                  <c:v>7.9432823472428173E-3</c:v>
                </c:pt>
                <c:pt idx="18">
                  <c:v>8.9125093813374572E-3</c:v>
                </c:pt>
                <c:pt idx="19">
                  <c:v>0.01</c:v>
                </c:pt>
                <c:pt idx="20">
                  <c:v>1.1220184543019636E-2</c:v>
                </c:pt>
                <c:pt idx="21">
                  <c:v>1.258925411794168E-2</c:v>
                </c:pt>
                <c:pt idx="22">
                  <c:v>1.4125375446227544E-2</c:v>
                </c:pt>
                <c:pt idx="23">
                  <c:v>1.5848931924611138E-2</c:v>
                </c:pt>
                <c:pt idx="24">
                  <c:v>1.7782794100389236E-2</c:v>
                </c:pt>
                <c:pt idx="25">
                  <c:v>1.9952623149688806E-2</c:v>
                </c:pt>
                <c:pt idx="26">
                  <c:v>2.2387211385683406E-2</c:v>
                </c:pt>
                <c:pt idx="27">
                  <c:v>2.5118864315095798E-2</c:v>
                </c:pt>
                <c:pt idx="28">
                  <c:v>2.818382931264455E-2</c:v>
                </c:pt>
                <c:pt idx="29">
                  <c:v>3.1622776601683805E-2</c:v>
                </c:pt>
                <c:pt idx="30">
                  <c:v>3.5481338923357558E-2</c:v>
                </c:pt>
                <c:pt idx="31">
                  <c:v>3.9810717055349755E-2</c:v>
                </c:pt>
                <c:pt idx="32">
                  <c:v>4.4668359215096327E-2</c:v>
                </c:pt>
                <c:pt idx="33">
                  <c:v>5.0118723362727241E-2</c:v>
                </c:pt>
                <c:pt idx="34">
                  <c:v>5.6234132519034918E-2</c:v>
                </c:pt>
                <c:pt idx="35">
                  <c:v>6.3095734448019372E-2</c:v>
                </c:pt>
                <c:pt idx="36">
                  <c:v>7.0794578438413872E-2</c:v>
                </c:pt>
                <c:pt idx="37">
                  <c:v>7.9432823472428193E-2</c:v>
                </c:pt>
                <c:pt idx="38">
                  <c:v>8.9125093813374565E-2</c:v>
                </c:pt>
                <c:pt idx="39">
                  <c:v>0.1</c:v>
                </c:pt>
                <c:pt idx="40">
                  <c:v>0.11220184543019635</c:v>
                </c:pt>
                <c:pt idx="41">
                  <c:v>0.12589254117941678</c:v>
                </c:pt>
                <c:pt idx="42">
                  <c:v>0.14125375446227542</c:v>
                </c:pt>
                <c:pt idx="43">
                  <c:v>0.15848931924611154</c:v>
                </c:pt>
                <c:pt idx="44">
                  <c:v>0.17782794100389243</c:v>
                </c:pt>
                <c:pt idx="45">
                  <c:v>0.19952623149688803</c:v>
                </c:pt>
                <c:pt idx="46">
                  <c:v>0.22387211385683412</c:v>
                </c:pt>
                <c:pt idx="47">
                  <c:v>0.25118864315095807</c:v>
                </c:pt>
                <c:pt idx="48">
                  <c:v>0.28183829312644554</c:v>
                </c:pt>
                <c:pt idx="49">
                  <c:v>0.31622776601683827</c:v>
                </c:pt>
                <c:pt idx="50">
                  <c:v>0.35481338923357569</c:v>
                </c:pt>
                <c:pt idx="51">
                  <c:v>0.39810717055349759</c:v>
                </c:pt>
                <c:pt idx="52">
                  <c:v>0.44668359215096332</c:v>
                </c:pt>
                <c:pt idx="53">
                  <c:v>0.50118723362727269</c:v>
                </c:pt>
                <c:pt idx="54">
                  <c:v>0.56234132519034929</c:v>
                </c:pt>
                <c:pt idx="55">
                  <c:v>0.63095734448019325</c:v>
                </c:pt>
                <c:pt idx="56">
                  <c:v>0.7079457843841388</c:v>
                </c:pt>
                <c:pt idx="57">
                  <c:v>0.79432823472428205</c:v>
                </c:pt>
                <c:pt idx="58">
                  <c:v>0.89125093813374656</c:v>
                </c:pt>
                <c:pt idx="59">
                  <c:v>1</c:v>
                </c:pt>
                <c:pt idx="60">
                  <c:v>1.1220184543019636</c:v>
                </c:pt>
                <c:pt idx="61">
                  <c:v>1.2589254117941679</c:v>
                </c:pt>
                <c:pt idx="62">
                  <c:v>1.4125375446227546</c:v>
                </c:pt>
                <c:pt idx="63">
                  <c:v>1.5848931924611156</c:v>
                </c:pt>
                <c:pt idx="64">
                  <c:v>1.7782794100389245</c:v>
                </c:pt>
                <c:pt idx="65">
                  <c:v>1.9952623149688804</c:v>
                </c:pt>
                <c:pt idx="66">
                  <c:v>2.2387211385683417</c:v>
                </c:pt>
                <c:pt idx="67">
                  <c:v>2.511886431509581</c:v>
                </c:pt>
                <c:pt idx="68">
                  <c:v>2.8183829312644564</c:v>
                </c:pt>
                <c:pt idx="69">
                  <c:v>3.1622776601683804</c:v>
                </c:pt>
                <c:pt idx="70">
                  <c:v>3.5481338923357542</c:v>
                </c:pt>
                <c:pt idx="71">
                  <c:v>3.9810717055349771</c:v>
                </c:pt>
                <c:pt idx="72">
                  <c:v>4.4668359215096345</c:v>
                </c:pt>
                <c:pt idx="73">
                  <c:v>5.0118723362727327</c:v>
                </c:pt>
                <c:pt idx="74">
                  <c:v>5.6234132519034992</c:v>
                </c:pt>
                <c:pt idx="75">
                  <c:v>6.3095734448019387</c:v>
                </c:pt>
                <c:pt idx="76">
                  <c:v>7.0794578438413831</c:v>
                </c:pt>
                <c:pt idx="77">
                  <c:v>7.9432823472428158</c:v>
                </c:pt>
                <c:pt idx="78">
                  <c:v>8.9125093813374683</c:v>
                </c:pt>
                <c:pt idx="79">
                  <c:v>10</c:v>
                </c:pt>
                <c:pt idx="80">
                  <c:v>11.22018454301964</c:v>
                </c:pt>
                <c:pt idx="81">
                  <c:v>12.589254117941671</c:v>
                </c:pt>
                <c:pt idx="82">
                  <c:v>14.125375446227562</c:v>
                </c:pt>
                <c:pt idx="83">
                  <c:v>15.848931924611147</c:v>
                </c:pt>
                <c:pt idx="84">
                  <c:v>17.782794100389236</c:v>
                </c:pt>
                <c:pt idx="85">
                  <c:v>19.952623149688794</c:v>
                </c:pt>
                <c:pt idx="86">
                  <c:v>22.387211385683383</c:v>
                </c:pt>
                <c:pt idx="87">
                  <c:v>25.118864315095859</c:v>
                </c:pt>
                <c:pt idx="88">
                  <c:v>28.183829312644594</c:v>
                </c:pt>
                <c:pt idx="89">
                  <c:v>31.622776601683839</c:v>
                </c:pt>
                <c:pt idx="90">
                  <c:v>35.481338923357583</c:v>
                </c:pt>
                <c:pt idx="91">
                  <c:v>39.810717055349741</c:v>
                </c:pt>
                <c:pt idx="92">
                  <c:v>44.668359215096388</c:v>
                </c:pt>
                <c:pt idx="93">
                  <c:v>50.118723362727295</c:v>
                </c:pt>
                <c:pt idx="94">
                  <c:v>56.234132519034951</c:v>
                </c:pt>
                <c:pt idx="95">
                  <c:v>63.095734448019343</c:v>
                </c:pt>
                <c:pt idx="96">
                  <c:v>70.79457843841378</c:v>
                </c:pt>
                <c:pt idx="97">
                  <c:v>79.43282347242824</c:v>
                </c:pt>
                <c:pt idx="98">
                  <c:v>89.125093813374605</c:v>
                </c:pt>
                <c:pt idx="99">
                  <c:v>100</c:v>
                </c:pt>
                <c:pt idx="100">
                  <c:v>112.20184543019651</c:v>
                </c:pt>
                <c:pt idx="101">
                  <c:v>125.89254117941685</c:v>
                </c:pt>
                <c:pt idx="102">
                  <c:v>141.25375446227577</c:v>
                </c:pt>
                <c:pt idx="103">
                  <c:v>158.48931924611165</c:v>
                </c:pt>
                <c:pt idx="104">
                  <c:v>177.82794100389251</c:v>
                </c:pt>
                <c:pt idx="105">
                  <c:v>199.52623149688813</c:v>
                </c:pt>
                <c:pt idx="106">
                  <c:v>223.87211385683403</c:v>
                </c:pt>
                <c:pt idx="107">
                  <c:v>251.18864315095846</c:v>
                </c:pt>
                <c:pt idx="108">
                  <c:v>281.83829312644576</c:v>
                </c:pt>
                <c:pt idx="109">
                  <c:v>316.22776601683819</c:v>
                </c:pt>
                <c:pt idx="110">
                  <c:v>354.81338923357555</c:v>
                </c:pt>
                <c:pt idx="111">
                  <c:v>398.10717055349716</c:v>
                </c:pt>
                <c:pt idx="112">
                  <c:v>446.68359215096444</c:v>
                </c:pt>
                <c:pt idx="113">
                  <c:v>501.18723362727349</c:v>
                </c:pt>
                <c:pt idx="114">
                  <c:v>562.34132519035018</c:v>
                </c:pt>
                <c:pt idx="115">
                  <c:v>630.95734448019414</c:v>
                </c:pt>
                <c:pt idx="116">
                  <c:v>707.94578438413851</c:v>
                </c:pt>
                <c:pt idx="117">
                  <c:v>794.32823472428333</c:v>
                </c:pt>
                <c:pt idx="118">
                  <c:v>891.25093813374713</c:v>
                </c:pt>
                <c:pt idx="119">
                  <c:v>1000</c:v>
                </c:pt>
                <c:pt idx="120">
                  <c:v>1122.0184543019643</c:v>
                </c:pt>
                <c:pt idx="121">
                  <c:v>1258.9254117941678</c:v>
                </c:pt>
                <c:pt idx="122">
                  <c:v>1412.5375446227565</c:v>
                </c:pt>
                <c:pt idx="123">
                  <c:v>1584.8931924611154</c:v>
                </c:pt>
                <c:pt idx="124">
                  <c:v>1778.2794100389242</c:v>
                </c:pt>
                <c:pt idx="125">
                  <c:v>1995.26231496888</c:v>
                </c:pt>
                <c:pt idx="126">
                  <c:v>2238.721138568339</c:v>
                </c:pt>
                <c:pt idx="127">
                  <c:v>2511.8864315095871</c:v>
                </c:pt>
                <c:pt idx="128">
                  <c:v>2818.3829312644607</c:v>
                </c:pt>
                <c:pt idx="129">
                  <c:v>3162.2776601683854</c:v>
                </c:pt>
                <c:pt idx="130">
                  <c:v>3548.1338923357594</c:v>
                </c:pt>
                <c:pt idx="131">
                  <c:v>3981.071705534976</c:v>
                </c:pt>
                <c:pt idx="132">
                  <c:v>4466.8359215096416</c:v>
                </c:pt>
                <c:pt idx="133">
                  <c:v>5011.8723362727314</c:v>
                </c:pt>
                <c:pt idx="134">
                  <c:v>5623.4132519034974</c:v>
                </c:pt>
                <c:pt idx="135">
                  <c:v>6309.5734448019375</c:v>
                </c:pt>
                <c:pt idx="136">
                  <c:v>7079.4578438413819</c:v>
                </c:pt>
                <c:pt idx="137">
                  <c:v>7943.2823472428281</c:v>
                </c:pt>
                <c:pt idx="138">
                  <c:v>8912.509381337466</c:v>
                </c:pt>
                <c:pt idx="139">
                  <c:v>10000</c:v>
                </c:pt>
              </c:numCache>
            </c:numRef>
          </c:xVal>
          <c:yVal>
            <c:numRef>
              <c:f>'NCP1623 design tool'!$AC$58:$AC$197</c:f>
              <c:numCache>
                <c:formatCode>General</c:formatCode>
                <c:ptCount val="140"/>
                <c:pt idx="0">
                  <c:v>34.396951012124433</c:v>
                </c:pt>
                <c:pt idx="1">
                  <c:v>33.396951160832835</c:v>
                </c:pt>
                <c:pt idx="2">
                  <c:v>32.396951348045619</c:v>
                </c:pt>
                <c:pt idx="3">
                  <c:v>31.39695158373253</c:v>
                </c:pt>
                <c:pt idx="4">
                  <c:v>30.396951880444764</c:v>
                </c:pt>
                <c:pt idx="5">
                  <c:v>29.396952253983297</c:v>
                </c:pt>
                <c:pt idx="6">
                  <c:v>28.396952724240403</c:v>
                </c:pt>
                <c:pt idx="7">
                  <c:v>27.396953316258951</c:v>
                </c:pt>
                <c:pt idx="8">
                  <c:v>26.396954061566035</c:v>
                </c:pt>
                <c:pt idx="9">
                  <c:v>25.396954999851875</c:v>
                </c:pt>
                <c:pt idx="10">
                  <c:v>24.396956181083464</c:v>
                </c:pt>
                <c:pt idx="11">
                  <c:v>23.396957668165481</c:v>
                </c:pt>
                <c:pt idx="12">
                  <c:v>22.39695954029008</c:v>
                </c:pt>
                <c:pt idx="13">
                  <c:v>21.396961897154156</c:v>
                </c:pt>
                <c:pt idx="14">
                  <c:v>20.396964864268398</c:v>
                </c:pt>
                <c:pt idx="15">
                  <c:v>19.396968599641003</c:v>
                </c:pt>
                <c:pt idx="16">
                  <c:v>18.396973302191881</c:v>
                </c:pt>
                <c:pt idx="17">
                  <c:v>17.396979222345376</c:v>
                </c:pt>
                <c:pt idx="18">
                  <c:v>16.396986675365451</c:v>
                </c:pt>
                <c:pt idx="19">
                  <c:v>15.396996058143456</c:v>
                </c:pt>
                <c:pt idx="20">
                  <c:v>14.397007870331997</c:v>
                </c:pt>
                <c:pt idx="21">
                  <c:v>13.397022740950172</c:v>
                </c:pt>
                <c:pt idx="22">
                  <c:v>12.397041461876155</c:v>
                </c:pt>
                <c:pt idx="23">
                  <c:v>11.397065030009689</c:v>
                </c:pt>
                <c:pt idx="24">
                  <c:v>10.397094700348198</c:v>
                </c:pt>
                <c:pt idx="25">
                  <c:v>9.3971320528001723</c:v>
                </c:pt>
                <c:pt idx="26">
                  <c:v>8.397179076289726</c:v>
                </c:pt>
                <c:pt idx="27">
                  <c:v>7.397238274624371</c:v>
                </c:pt>
                <c:pt idx="28">
                  <c:v>6.3973127997531707</c:v>
                </c:pt>
                <c:pt idx="29">
                  <c:v>5.3974066194947987</c:v>
                </c:pt>
                <c:pt idx="30">
                  <c:v>4.397524728640585</c:v>
                </c:pt>
                <c:pt idx="31">
                  <c:v>3.3976734146320955</c:v>
                </c:pt>
                <c:pt idx="32">
                  <c:v>2.3978605918938274</c:v>
                </c:pt>
                <c:pt idx="33">
                  <c:v>1.3980962225184139</c:v>
                </c:pt>
                <c:pt idx="34">
                  <c:v>0.39839284553783699</c:v>
                </c:pt>
                <c:pt idx="35">
                  <c:v>-0.60123375730250572</c:v>
                </c:pt>
                <c:pt idx="36">
                  <c:v>-1.6007637242373798</c:v>
                </c:pt>
                <c:pt idx="37">
                  <c:v>-2.6001720607271608</c:v>
                </c:pt>
                <c:pt idx="38">
                  <c:v>-3.5994273162587147</c:v>
                </c:pt>
                <c:pt idx="39">
                  <c:v>-4.5984899219246715</c:v>
                </c:pt>
                <c:pt idx="40">
                  <c:v>-5.5973101029218251</c:v>
                </c:pt>
                <c:pt idx="41">
                  <c:v>-6.5958252590250241</c:v>
                </c:pt>
                <c:pt idx="42">
                  <c:v>-7.5939566802117211</c:v>
                </c:pt>
                <c:pt idx="43">
                  <c:v>-8.5916054330734948</c:v>
                </c:pt>
                <c:pt idx="44">
                  <c:v>-9.5886472155823892</c:v>
                </c:pt>
                <c:pt idx="45">
                  <c:v>-10.584925932421326</c:v>
                </c:pt>
                <c:pt idx="46">
                  <c:v>-11.580245689988804</c:v>
                </c:pt>
                <c:pt idx="47">
                  <c:v>-12.574360849573518</c:v>
                </c:pt>
                <c:pt idx="48">
                  <c:v>-13.566963710527672</c:v>
                </c:pt>
                <c:pt idx="49">
                  <c:v>-14.557669326169703</c:v>
                </c:pt>
                <c:pt idx="50">
                  <c:v>-15.545996890775617</c:v>
                </c:pt>
                <c:pt idx="51">
                  <c:v>-16.53134708910623</c:v>
                </c:pt>
                <c:pt idx="52">
                  <c:v>-17.512974791639611</c:v>
                </c:pt>
                <c:pt idx="53">
                  <c:v>-18.489956542432733</c:v>
                </c:pt>
                <c:pt idx="54">
                  <c:v>-19.461152472485008</c:v>
                </c:pt>
                <c:pt idx="55">
                  <c:v>-20.425162651065449</c:v>
                </c:pt>
                <c:pt idx="56">
                  <c:v>-21.38027855594305</c:v>
                </c:pt>
                <c:pt idx="57">
                  <c:v>-22.324431416359321</c:v>
                </c:pt>
                <c:pt idx="58">
                  <c:v>-23.255140778986902</c:v>
                </c:pt>
                <c:pt idx="59">
                  <c:v>-24.169468849019115</c:v>
                </c:pt>
                <c:pt idx="60">
                  <c:v>-25.063988933613356</c:v>
                </c:pt>
                <c:pt idx="61">
                  <c:v>-25.934779395108549</c:v>
                </c:pt>
                <c:pt idx="62">
                  <c:v>-26.777457250561092</c:v>
                </c:pt>
                <c:pt idx="63">
                  <c:v>-27.587266764304299</c:v>
                </c:pt>
                <c:pt idx="64">
                  <c:v>-28.359236427881598</c:v>
                </c:pt>
                <c:pt idx="65">
                  <c:v>-29.088410872500592</c:v>
                </c:pt>
                <c:pt idx="66">
                  <c:v>-29.770151564067582</c:v>
                </c:pt>
                <c:pt idx="67">
                  <c:v>-30.400482662653491</c:v>
                </c:pt>
                <c:pt idx="68">
                  <c:v>-30.976440242238986</c:v>
                </c:pt>
                <c:pt idx="69">
                  <c:v>-31.496370831420986</c:v>
                </c:pt>
                <c:pt idx="70">
                  <c:v>-31.960125787243474</c:v>
                </c:pt>
                <c:pt idx="71">
                  <c:v>-32.369114488965479</c:v>
                </c:pt>
                <c:pt idx="72">
                  <c:v>-32.726208261348631</c:v>
                </c:pt>
                <c:pt idx="73">
                  <c:v>-33.035518846106548</c:v>
                </c:pt>
                <c:pt idx="74">
                  <c:v>-33.302099151156412</c:v>
                </c:pt>
                <c:pt idx="75">
                  <c:v>-33.531622910190528</c:v>
                </c:pt>
                <c:pt idx="76">
                  <c:v>-33.730093573819524</c:v>
                </c:pt>
                <c:pt idx="77">
                  <c:v>-33.903616550162866</c:v>
                </c:pt>
                <c:pt idx="78">
                  <c:v>-34.058249935019816</c:v>
                </c:pt>
                <c:pt idx="79">
                  <c:v>-34.19993263147478</c:v>
                </c:pt>
                <c:pt idx="80">
                  <c:v>-34.334477726780662</c:v>
                </c:pt>
                <c:pt idx="81">
                  <c:v>-34.467613012598783</c:v>
                </c:pt>
                <c:pt idx="82">
                  <c:v>-34.605048063424782</c:v>
                </c:pt>
                <c:pt idx="83">
                  <c:v>-34.752546595801313</c:v>
                </c:pt>
                <c:pt idx="84">
                  <c:v>-34.915982755016529</c:v>
                </c:pt>
                <c:pt idx="85">
                  <c:v>-35.101360271101484</c:v>
                </c:pt>
                <c:pt idx="86">
                  <c:v>-35.314774824527575</c:v>
                </c:pt>
                <c:pt idx="87">
                  <c:v>-35.562303980883115</c:v>
                </c:pt>
                <c:pt idx="88">
                  <c:v>-35.849817452257128</c:v>
                </c:pt>
                <c:pt idx="89">
                  <c:v>-36.182714229413556</c:v>
                </c:pt>
                <c:pt idx="90">
                  <c:v>-36.565611261125937</c:v>
                </c:pt>
                <c:pt idx="91">
                  <c:v>-37.002026781281458</c:v>
                </c:pt>
                <c:pt idx="92">
                  <c:v>-37.494113457944977</c:v>
                </c:pt>
                <c:pt idx="93">
                  <c:v>-38.042495546155067</c:v>
                </c:pt>
                <c:pt idx="94">
                  <c:v>-38.646247263626755</c:v>
                </c:pt>
                <c:pt idx="95">
                  <c:v>-39.303020414166397</c:v>
                </c:pt>
                <c:pt idx="96">
                  <c:v>-40.009297471160451</c:v>
                </c:pt>
                <c:pt idx="97">
                  <c:v>-40.760722832879246</c:v>
                </c:pt>
                <c:pt idx="98">
                  <c:v>-41.552456556642362</c:v>
                </c:pt>
                <c:pt idx="99">
                  <c:v>-42.379501512507204</c:v>
                </c:pt>
                <c:pt idx="100">
                  <c:v>-43.236971067645491</c:v>
                </c:pt>
                <c:pt idx="101">
                  <c:v>-44.120282936674911</c:v>
                </c:pt>
                <c:pt idx="102">
                  <c:v>-45.025280194662592</c:v>
                </c:pt>
                <c:pt idx="103">
                  <c:v>-45.948290165044213</c:v>
                </c:pt>
                <c:pt idx="104">
                  <c:v>-46.886136073029185</c:v>
                </c:pt>
                <c:pt idx="105">
                  <c:v>-47.83611648247976</c:v>
                </c:pt>
                <c:pt idx="106">
                  <c:v>-48.795965376369523</c:v>
                </c:pt>
                <c:pt idx="107">
                  <c:v>-49.763802722239561</c:v>
                </c:pt>
                <c:pt idx="108">
                  <c:v>-50.738082384201277</c:v>
                </c:pt>
                <c:pt idx="109">
                  <c:v>-51.717541742480421</c:v>
                </c:pt>
                <c:pt idx="110">
                  <c:v>-52.701155491270967</c:v>
                </c:pt>
                <c:pt idx="111">
                  <c:v>-53.688094767918216</c:v>
                </c:pt>
                <c:pt idx="112">
                  <c:v>-54.67769191335843</c:v>
                </c:pt>
                <c:pt idx="113">
                  <c:v>-55.669410654728594</c:v>
                </c:pt>
                <c:pt idx="114">
                  <c:v>-56.662821229801409</c:v>
                </c:pt>
                <c:pt idx="115">
                  <c:v>-57.657579856248944</c:v>
                </c:pt>
                <c:pt idx="116">
                  <c:v>-58.653411926519986</c:v>
                </c:pt>
                <c:pt idx="117">
                  <c:v>-59.650098340241172</c:v>
                </c:pt>
                <c:pt idx="118">
                  <c:v>-60.647464443832945</c:v>
                </c:pt>
                <c:pt idx="119">
                  <c:v>-61.645371114979049</c:v>
                </c:pt>
                <c:pt idx="120">
                  <c:v>-62.643707598089435</c:v>
                </c:pt>
                <c:pt idx="121">
                  <c:v>-63.642385760793786</c:v>
                </c:pt>
                <c:pt idx="122">
                  <c:v>-64.641335498405937</c:v>
                </c:pt>
                <c:pt idx="123">
                  <c:v>-65.64050106245719</c:v>
                </c:pt>
                <c:pt idx="124">
                  <c:v>-66.639838130988068</c:v>
                </c:pt>
                <c:pt idx="125">
                  <c:v>-67.639311472947156</c:v>
                </c:pt>
                <c:pt idx="126">
                  <c:v>-68.638893087613965</c:v>
                </c:pt>
                <c:pt idx="127">
                  <c:v>-69.638560723312906</c:v>
                </c:pt>
                <c:pt idx="128">
                  <c:v>-70.638296698652425</c:v>
                </c:pt>
                <c:pt idx="129">
                  <c:v>-71.638086964854438</c:v>
                </c:pt>
                <c:pt idx="130">
                  <c:v>-72.637920360085189</c:v>
                </c:pt>
                <c:pt idx="131">
                  <c:v>-73.637788016611765</c:v>
                </c:pt>
                <c:pt idx="132">
                  <c:v>-74.637682889550888</c:v>
                </c:pt>
                <c:pt idx="133">
                  <c:v>-75.637599382326215</c:v>
                </c:pt>
                <c:pt idx="134">
                  <c:v>-76.637533049023943</c:v>
                </c:pt>
                <c:pt idx="135">
                  <c:v>-77.637480357879653</c:v>
                </c:pt>
                <c:pt idx="136">
                  <c:v>-78.63743850335581</c:v>
                </c:pt>
                <c:pt idx="137">
                  <c:v>-79.637405256835436</c:v>
                </c:pt>
                <c:pt idx="138">
                  <c:v>-80.637378848002356</c:v>
                </c:pt>
                <c:pt idx="139">
                  <c:v>-81.637357870604959</c:v>
                </c:pt>
              </c:numCache>
            </c:numRef>
          </c:yVal>
          <c:smooth val="0"/>
          <c:extLst>
            <c:ext xmlns:c16="http://schemas.microsoft.com/office/drawing/2014/chart" uri="{C3380CC4-5D6E-409C-BE32-E72D297353CC}">
              <c16:uniqueId val="{00000001-4483-4707-8A74-9FBF4317CBB8}"/>
            </c:ext>
          </c:extLst>
        </c:ser>
        <c:ser>
          <c:idx val="2"/>
          <c:order val="2"/>
          <c:tx>
            <c:strRef>
              <c:f>'NCP1623 design tool'!$AE$57</c:f>
              <c:strCache>
                <c:ptCount val="1"/>
                <c:pt idx="0">
                  <c:v>closed loop</c:v>
                </c:pt>
              </c:strCache>
            </c:strRef>
          </c:tx>
          <c:spPr>
            <a:ln w="19050" cap="rnd">
              <a:solidFill>
                <a:schemeClr val="accent3"/>
              </a:solidFill>
              <a:round/>
            </a:ln>
            <a:effectLst/>
          </c:spPr>
          <c:marker>
            <c:symbol val="none"/>
          </c:marker>
          <c:xVal>
            <c:numRef>
              <c:f>'NCP1623 design tool'!$Z$58:$Z$197</c:f>
              <c:numCache>
                <c:formatCode>General</c:formatCode>
                <c:ptCount val="140"/>
                <c:pt idx="0">
                  <c:v>1.1220184543019637E-3</c:v>
                </c:pt>
                <c:pt idx="1">
                  <c:v>1.2589254117941673E-3</c:v>
                </c:pt>
                <c:pt idx="2">
                  <c:v>1.4125375446227544E-3</c:v>
                </c:pt>
                <c:pt idx="3">
                  <c:v>1.5848931924611136E-3</c:v>
                </c:pt>
                <c:pt idx="4">
                  <c:v>1.778279410038923E-3</c:v>
                </c:pt>
                <c:pt idx="5">
                  <c:v>1.9952623149688798E-3</c:v>
                </c:pt>
                <c:pt idx="6">
                  <c:v>2.2387211385683395E-3</c:v>
                </c:pt>
                <c:pt idx="7">
                  <c:v>2.5118864315095807E-3</c:v>
                </c:pt>
                <c:pt idx="8">
                  <c:v>2.8183829312644544E-3</c:v>
                </c:pt>
                <c:pt idx="9">
                  <c:v>3.1622776601683794E-3</c:v>
                </c:pt>
                <c:pt idx="10">
                  <c:v>3.5481338923357554E-3</c:v>
                </c:pt>
                <c:pt idx="11">
                  <c:v>3.9810717055349725E-3</c:v>
                </c:pt>
                <c:pt idx="12">
                  <c:v>4.4668359215096322E-3</c:v>
                </c:pt>
                <c:pt idx="13">
                  <c:v>5.0118723362727229E-3</c:v>
                </c:pt>
                <c:pt idx="14">
                  <c:v>5.6234132519034918E-3</c:v>
                </c:pt>
                <c:pt idx="15">
                  <c:v>6.3095734448019346E-3</c:v>
                </c:pt>
                <c:pt idx="16">
                  <c:v>7.0794578438413795E-3</c:v>
                </c:pt>
                <c:pt idx="17">
                  <c:v>7.9432823472428173E-3</c:v>
                </c:pt>
                <c:pt idx="18">
                  <c:v>8.9125093813374572E-3</c:v>
                </c:pt>
                <c:pt idx="19">
                  <c:v>0.01</c:v>
                </c:pt>
                <c:pt idx="20">
                  <c:v>1.1220184543019636E-2</c:v>
                </c:pt>
                <c:pt idx="21">
                  <c:v>1.258925411794168E-2</c:v>
                </c:pt>
                <c:pt idx="22">
                  <c:v>1.4125375446227544E-2</c:v>
                </c:pt>
                <c:pt idx="23">
                  <c:v>1.5848931924611138E-2</c:v>
                </c:pt>
                <c:pt idx="24">
                  <c:v>1.7782794100389236E-2</c:v>
                </c:pt>
                <c:pt idx="25">
                  <c:v>1.9952623149688806E-2</c:v>
                </c:pt>
                <c:pt idx="26">
                  <c:v>2.2387211385683406E-2</c:v>
                </c:pt>
                <c:pt idx="27">
                  <c:v>2.5118864315095798E-2</c:v>
                </c:pt>
                <c:pt idx="28">
                  <c:v>2.818382931264455E-2</c:v>
                </c:pt>
                <c:pt idx="29">
                  <c:v>3.1622776601683805E-2</c:v>
                </c:pt>
                <c:pt idx="30">
                  <c:v>3.5481338923357558E-2</c:v>
                </c:pt>
                <c:pt idx="31">
                  <c:v>3.9810717055349755E-2</c:v>
                </c:pt>
                <c:pt idx="32">
                  <c:v>4.4668359215096327E-2</c:v>
                </c:pt>
                <c:pt idx="33">
                  <c:v>5.0118723362727241E-2</c:v>
                </c:pt>
                <c:pt idx="34">
                  <c:v>5.6234132519034918E-2</c:v>
                </c:pt>
                <c:pt idx="35">
                  <c:v>6.3095734448019372E-2</c:v>
                </c:pt>
                <c:pt idx="36">
                  <c:v>7.0794578438413872E-2</c:v>
                </c:pt>
                <c:pt idx="37">
                  <c:v>7.9432823472428193E-2</c:v>
                </c:pt>
                <c:pt idx="38">
                  <c:v>8.9125093813374565E-2</c:v>
                </c:pt>
                <c:pt idx="39">
                  <c:v>0.1</c:v>
                </c:pt>
                <c:pt idx="40">
                  <c:v>0.11220184543019635</c:v>
                </c:pt>
                <c:pt idx="41">
                  <c:v>0.12589254117941678</c:v>
                </c:pt>
                <c:pt idx="42">
                  <c:v>0.14125375446227542</c:v>
                </c:pt>
                <c:pt idx="43">
                  <c:v>0.15848931924611154</c:v>
                </c:pt>
                <c:pt idx="44">
                  <c:v>0.17782794100389243</c:v>
                </c:pt>
                <c:pt idx="45">
                  <c:v>0.19952623149688803</c:v>
                </c:pt>
                <c:pt idx="46">
                  <c:v>0.22387211385683412</c:v>
                </c:pt>
                <c:pt idx="47">
                  <c:v>0.25118864315095807</c:v>
                </c:pt>
                <c:pt idx="48">
                  <c:v>0.28183829312644554</c:v>
                </c:pt>
                <c:pt idx="49">
                  <c:v>0.31622776601683827</c:v>
                </c:pt>
                <c:pt idx="50">
                  <c:v>0.35481338923357569</c:v>
                </c:pt>
                <c:pt idx="51">
                  <c:v>0.39810717055349759</c:v>
                </c:pt>
                <c:pt idx="52">
                  <c:v>0.44668359215096332</c:v>
                </c:pt>
                <c:pt idx="53">
                  <c:v>0.50118723362727269</c:v>
                </c:pt>
                <c:pt idx="54">
                  <c:v>0.56234132519034929</c:v>
                </c:pt>
                <c:pt idx="55">
                  <c:v>0.63095734448019325</c:v>
                </c:pt>
                <c:pt idx="56">
                  <c:v>0.7079457843841388</c:v>
                </c:pt>
                <c:pt idx="57">
                  <c:v>0.79432823472428205</c:v>
                </c:pt>
                <c:pt idx="58">
                  <c:v>0.89125093813374656</c:v>
                </c:pt>
                <c:pt idx="59">
                  <c:v>1</c:v>
                </c:pt>
                <c:pt idx="60">
                  <c:v>1.1220184543019636</c:v>
                </c:pt>
                <c:pt idx="61">
                  <c:v>1.2589254117941679</c:v>
                </c:pt>
                <c:pt idx="62">
                  <c:v>1.4125375446227546</c:v>
                </c:pt>
                <c:pt idx="63">
                  <c:v>1.5848931924611156</c:v>
                </c:pt>
                <c:pt idx="64">
                  <c:v>1.7782794100389245</c:v>
                </c:pt>
                <c:pt idx="65">
                  <c:v>1.9952623149688804</c:v>
                </c:pt>
                <c:pt idx="66">
                  <c:v>2.2387211385683417</c:v>
                </c:pt>
                <c:pt idx="67">
                  <c:v>2.511886431509581</c:v>
                </c:pt>
                <c:pt idx="68">
                  <c:v>2.8183829312644564</c:v>
                </c:pt>
                <c:pt idx="69">
                  <c:v>3.1622776601683804</c:v>
                </c:pt>
                <c:pt idx="70">
                  <c:v>3.5481338923357542</c:v>
                </c:pt>
                <c:pt idx="71">
                  <c:v>3.9810717055349771</c:v>
                </c:pt>
                <c:pt idx="72">
                  <c:v>4.4668359215096345</c:v>
                </c:pt>
                <c:pt idx="73">
                  <c:v>5.0118723362727327</c:v>
                </c:pt>
                <c:pt idx="74">
                  <c:v>5.6234132519034992</c:v>
                </c:pt>
                <c:pt idx="75">
                  <c:v>6.3095734448019387</c:v>
                </c:pt>
                <c:pt idx="76">
                  <c:v>7.0794578438413831</c:v>
                </c:pt>
                <c:pt idx="77">
                  <c:v>7.9432823472428158</c:v>
                </c:pt>
                <c:pt idx="78">
                  <c:v>8.9125093813374683</c:v>
                </c:pt>
                <c:pt idx="79">
                  <c:v>10</c:v>
                </c:pt>
                <c:pt idx="80">
                  <c:v>11.22018454301964</c:v>
                </c:pt>
                <c:pt idx="81">
                  <c:v>12.589254117941671</c:v>
                </c:pt>
                <c:pt idx="82">
                  <c:v>14.125375446227562</c:v>
                </c:pt>
                <c:pt idx="83">
                  <c:v>15.848931924611147</c:v>
                </c:pt>
                <c:pt idx="84">
                  <c:v>17.782794100389236</c:v>
                </c:pt>
                <c:pt idx="85">
                  <c:v>19.952623149688794</c:v>
                </c:pt>
                <c:pt idx="86">
                  <c:v>22.387211385683383</c:v>
                </c:pt>
                <c:pt idx="87">
                  <c:v>25.118864315095859</c:v>
                </c:pt>
                <c:pt idx="88">
                  <c:v>28.183829312644594</c:v>
                </c:pt>
                <c:pt idx="89">
                  <c:v>31.622776601683839</c:v>
                </c:pt>
                <c:pt idx="90">
                  <c:v>35.481338923357583</c:v>
                </c:pt>
                <c:pt idx="91">
                  <c:v>39.810717055349741</c:v>
                </c:pt>
                <c:pt idx="92">
                  <c:v>44.668359215096388</c:v>
                </c:pt>
                <c:pt idx="93">
                  <c:v>50.118723362727295</c:v>
                </c:pt>
                <c:pt idx="94">
                  <c:v>56.234132519034951</c:v>
                </c:pt>
                <c:pt idx="95">
                  <c:v>63.095734448019343</c:v>
                </c:pt>
                <c:pt idx="96">
                  <c:v>70.79457843841378</c:v>
                </c:pt>
                <c:pt idx="97">
                  <c:v>79.43282347242824</c:v>
                </c:pt>
                <c:pt idx="98">
                  <c:v>89.125093813374605</c:v>
                </c:pt>
                <c:pt idx="99">
                  <c:v>100</c:v>
                </c:pt>
                <c:pt idx="100">
                  <c:v>112.20184543019651</c:v>
                </c:pt>
                <c:pt idx="101">
                  <c:v>125.89254117941685</c:v>
                </c:pt>
                <c:pt idx="102">
                  <c:v>141.25375446227577</c:v>
                </c:pt>
                <c:pt idx="103">
                  <c:v>158.48931924611165</c:v>
                </c:pt>
                <c:pt idx="104">
                  <c:v>177.82794100389251</c:v>
                </c:pt>
                <c:pt idx="105">
                  <c:v>199.52623149688813</c:v>
                </c:pt>
                <c:pt idx="106">
                  <c:v>223.87211385683403</c:v>
                </c:pt>
                <c:pt idx="107">
                  <c:v>251.18864315095846</c:v>
                </c:pt>
                <c:pt idx="108">
                  <c:v>281.83829312644576</c:v>
                </c:pt>
                <c:pt idx="109">
                  <c:v>316.22776601683819</c:v>
                </c:pt>
                <c:pt idx="110">
                  <c:v>354.81338923357555</c:v>
                </c:pt>
                <c:pt idx="111">
                  <c:v>398.10717055349716</c:v>
                </c:pt>
                <c:pt idx="112">
                  <c:v>446.68359215096444</c:v>
                </c:pt>
                <c:pt idx="113">
                  <c:v>501.18723362727349</c:v>
                </c:pt>
                <c:pt idx="114">
                  <c:v>562.34132519035018</c:v>
                </c:pt>
                <c:pt idx="115">
                  <c:v>630.95734448019414</c:v>
                </c:pt>
                <c:pt idx="116">
                  <c:v>707.94578438413851</c:v>
                </c:pt>
                <c:pt idx="117">
                  <c:v>794.32823472428333</c:v>
                </c:pt>
                <c:pt idx="118">
                  <c:v>891.25093813374713</c:v>
                </c:pt>
                <c:pt idx="119">
                  <c:v>1000</c:v>
                </c:pt>
                <c:pt idx="120">
                  <c:v>1122.0184543019643</c:v>
                </c:pt>
                <c:pt idx="121">
                  <c:v>1258.9254117941678</c:v>
                </c:pt>
                <c:pt idx="122">
                  <c:v>1412.5375446227565</c:v>
                </c:pt>
                <c:pt idx="123">
                  <c:v>1584.8931924611154</c:v>
                </c:pt>
                <c:pt idx="124">
                  <c:v>1778.2794100389242</c:v>
                </c:pt>
                <c:pt idx="125">
                  <c:v>1995.26231496888</c:v>
                </c:pt>
                <c:pt idx="126">
                  <c:v>2238.721138568339</c:v>
                </c:pt>
                <c:pt idx="127">
                  <c:v>2511.8864315095871</c:v>
                </c:pt>
                <c:pt idx="128">
                  <c:v>2818.3829312644607</c:v>
                </c:pt>
                <c:pt idx="129">
                  <c:v>3162.2776601683854</c:v>
                </c:pt>
                <c:pt idx="130">
                  <c:v>3548.1338923357594</c:v>
                </c:pt>
                <c:pt idx="131">
                  <c:v>3981.071705534976</c:v>
                </c:pt>
                <c:pt idx="132">
                  <c:v>4466.8359215096416</c:v>
                </c:pt>
                <c:pt idx="133">
                  <c:v>5011.8723362727314</c:v>
                </c:pt>
                <c:pt idx="134">
                  <c:v>5623.4132519034974</c:v>
                </c:pt>
                <c:pt idx="135">
                  <c:v>6309.5734448019375</c:v>
                </c:pt>
                <c:pt idx="136">
                  <c:v>7079.4578438413819</c:v>
                </c:pt>
                <c:pt idx="137">
                  <c:v>7943.2823472428281</c:v>
                </c:pt>
                <c:pt idx="138">
                  <c:v>8912.509381337466</c:v>
                </c:pt>
                <c:pt idx="139">
                  <c:v>10000</c:v>
                </c:pt>
              </c:numCache>
            </c:numRef>
          </c:xVal>
          <c:yVal>
            <c:numRef>
              <c:f>'NCP1623 design tool'!$AE$58:$AE$197</c:f>
              <c:numCache>
                <c:formatCode>General</c:formatCode>
                <c:ptCount val="140"/>
                <c:pt idx="0">
                  <c:v>86.958800170524768</c:v>
                </c:pt>
                <c:pt idx="1">
                  <c:v>85.958800169769759</c:v>
                </c:pt>
                <c:pt idx="2">
                  <c:v>84.958800168819252</c:v>
                </c:pt>
                <c:pt idx="3">
                  <c:v>83.958800167622627</c:v>
                </c:pt>
                <c:pt idx="4">
                  <c:v>82.958800166116163</c:v>
                </c:pt>
                <c:pt idx="5">
                  <c:v>81.958800164219653</c:v>
                </c:pt>
                <c:pt idx="6">
                  <c:v>80.958800161832073</c:v>
                </c:pt>
                <c:pt idx="7">
                  <c:v>79.958800158826278</c:v>
                </c:pt>
                <c:pt idx="8">
                  <c:v>78.958800155042226</c:v>
                </c:pt>
                <c:pt idx="9">
                  <c:v>77.958800150278378</c:v>
                </c:pt>
                <c:pt idx="10">
                  <c:v>76.958800144281057</c:v>
                </c:pt>
                <c:pt idx="11">
                  <c:v>75.958800136730872</c:v>
                </c:pt>
                <c:pt idx="12">
                  <c:v>74.958800127225743</c:v>
                </c:pt>
                <c:pt idx="13">
                  <c:v>73.958800115259493</c:v>
                </c:pt>
                <c:pt idx="14">
                  <c:v>72.958800100194907</c:v>
                </c:pt>
                <c:pt idx="15">
                  <c:v>71.958800081229683</c:v>
                </c:pt>
                <c:pt idx="16">
                  <c:v>70.958800057353898</c:v>
                </c:pt>
                <c:pt idx="17">
                  <c:v>69.958800027296064</c:v>
                </c:pt>
                <c:pt idx="18">
                  <c:v>68.958799989455486</c:v>
                </c:pt>
                <c:pt idx="19">
                  <c:v>67.958799941817034</c:v>
                </c:pt>
                <c:pt idx="20">
                  <c:v>66.95879988184376</c:v>
                </c:pt>
                <c:pt idx="21">
                  <c:v>65.958799806341901</c:v>
                </c:pt>
                <c:pt idx="22">
                  <c:v>64.958799711290695</c:v>
                </c:pt>
                <c:pt idx="23">
                  <c:v>63.958799591628306</c:v>
                </c:pt>
                <c:pt idx="24">
                  <c:v>62.95879944098229</c:v>
                </c:pt>
                <c:pt idx="25">
                  <c:v>61.958799251330198</c:v>
                </c:pt>
                <c:pt idx="26">
                  <c:v>60.958799012572371</c:v>
                </c:pt>
                <c:pt idx="27">
                  <c:v>59.958798711994099</c:v>
                </c:pt>
                <c:pt idx="28">
                  <c:v>58.958798333588504</c:v>
                </c:pt>
                <c:pt idx="29">
                  <c:v>57.958797857204132</c:v>
                </c:pt>
                <c:pt idx="30">
                  <c:v>56.958797257471808</c:v>
                </c:pt>
                <c:pt idx="31">
                  <c:v>55.958796502453666</c:v>
                </c:pt>
                <c:pt idx="32">
                  <c:v>54.958795551942337</c:v>
                </c:pt>
                <c:pt idx="33">
                  <c:v>53.95879435531976</c:v>
                </c:pt>
                <c:pt idx="34">
                  <c:v>52.958792848861656</c:v>
                </c:pt>
                <c:pt idx="35">
                  <c:v>51.958790952344017</c:v>
                </c:pt>
                <c:pt idx="36">
                  <c:v>50.958788564770927</c:v>
                </c:pt>
                <c:pt idx="37">
                  <c:v>49.958785558996375</c:v>
                </c:pt>
                <c:pt idx="38">
                  <c:v>48.958781774953373</c:v>
                </c:pt>
                <c:pt idx="39">
                  <c:v>47.958777011130145</c:v>
                </c:pt>
                <c:pt idx="40">
                  <c:v>46.958771013839481</c:v>
                </c:pt>
                <c:pt idx="41">
                  <c:v>45.958763463709609</c:v>
                </c:pt>
                <c:pt idx="42">
                  <c:v>44.958753958677939</c:v>
                </c:pt>
                <c:pt idx="43">
                  <c:v>43.958741992581579</c:v>
                </c:pt>
                <c:pt idx="44">
                  <c:v>42.958726928205699</c:v>
                </c:pt>
                <c:pt idx="45">
                  <c:v>41.958707963354385</c:v>
                </c:pt>
                <c:pt idx="46">
                  <c:v>40.958684088138909</c:v>
                </c:pt>
                <c:pt idx="47">
                  <c:v>39.958654031210045</c:v>
                </c:pt>
                <c:pt idx="48">
                  <c:v>38.958616192074267</c:v>
                </c:pt>
                <c:pt idx="49">
                  <c:v>37.958568555893471</c:v>
                </c:pt>
                <c:pt idx="50">
                  <c:v>36.95850858623789</c:v>
                </c:pt>
                <c:pt idx="51">
                  <c:v>35.958433090091987</c:v>
                </c:pt>
                <c:pt idx="52">
                  <c:v>34.95833804794151</c:v>
                </c:pt>
                <c:pt idx="53">
                  <c:v>33.95821839992044</c:v>
                </c:pt>
                <c:pt idx="54">
                  <c:v>32.958067776673161</c:v>
                </c:pt>
                <c:pt idx="55">
                  <c:v>31.957878160667242</c:v>
                </c:pt>
                <c:pt idx="56">
                  <c:v>30.957639460029952</c:v>
                </c:pt>
                <c:pt idx="57">
                  <c:v>29.957338972385639</c:v>
                </c:pt>
                <c:pt idx="58">
                  <c:v>28.956960710414346</c:v>
                </c:pt>
                <c:pt idx="59">
                  <c:v>27.95648455364768</c:v>
                </c:pt>
                <c:pt idx="60">
                  <c:v>26.955885182015908</c:v>
                </c:pt>
                <c:pt idx="61">
                  <c:v>25.955130735438217</c:v>
                </c:pt>
                <c:pt idx="62">
                  <c:v>24.954181129788282</c:v>
                </c:pt>
                <c:pt idx="63">
                  <c:v>23.952985942267997</c:v>
                </c:pt>
                <c:pt idx="64">
                  <c:v>22.951481757867718</c:v>
                </c:pt>
                <c:pt idx="65">
                  <c:v>21.949588842382301</c:v>
                </c:pt>
                <c:pt idx="66">
                  <c:v>20.947206975516586</c:v>
                </c:pt>
                <c:pt idx="67">
                  <c:v>19.944210239071278</c:v>
                </c:pt>
                <c:pt idx="68">
                  <c:v>18.940440509283739</c:v>
                </c:pt>
                <c:pt idx="69">
                  <c:v>17.935699348660005</c:v>
                </c:pt>
                <c:pt idx="70">
                  <c:v>16.929737931307155</c:v>
                </c:pt>
                <c:pt idx="71">
                  <c:v>15.922244568358124</c:v>
                </c:pt>
                <c:pt idx="72">
                  <c:v>14.912829330255512</c:v>
                </c:pt>
                <c:pt idx="73">
                  <c:v>13.901005197700016</c:v>
                </c:pt>
                <c:pt idx="74">
                  <c:v>12.886165125892163</c:v>
                </c:pt>
                <c:pt idx="75">
                  <c:v>11.867554398766906</c:v>
                </c:pt>
                <c:pt idx="76">
                  <c:v>10.844237715054362</c:v>
                </c:pt>
                <c:pt idx="77">
                  <c:v>9.8150606369223254</c:v>
                </c:pt>
                <c:pt idx="78">
                  <c:v>8.7786054167797545</c:v>
                </c:pt>
                <c:pt idx="79">
                  <c:v>7.7331418944533397</c:v>
                </c:pt>
                <c:pt idx="80">
                  <c:v>6.6765752412291093</c:v>
                </c:pt>
                <c:pt idx="81">
                  <c:v>5.6063939376121183</c:v>
                </c:pt>
                <c:pt idx="82">
                  <c:v>4.519623587401334</c:v>
                </c:pt>
                <c:pt idx="83">
                  <c:v>3.4127949533295734</c:v>
                </c:pt>
                <c:pt idx="84">
                  <c:v>2.281937669894468</c:v>
                </c:pt>
                <c:pt idx="85">
                  <c:v>1.1226137744756244</c:v>
                </c:pt>
                <c:pt idx="86">
                  <c:v>-6.9993688405027399E-2</c:v>
                </c:pt>
                <c:pt idx="87">
                  <c:v>-1.30092384906132</c:v>
                </c:pt>
                <c:pt idx="88">
                  <c:v>-2.5752069081086262</c:v>
                </c:pt>
                <c:pt idx="89">
                  <c:v>-3.8975655961783886</c:v>
                </c:pt>
                <c:pt idx="90">
                  <c:v>-5.2720736653085751</c:v>
                </c:pt>
                <c:pt idx="91">
                  <c:v>-6.7018140284140166</c:v>
                </c:pt>
                <c:pt idx="92">
                  <c:v>-8.1885911180819839</c:v>
                </c:pt>
                <c:pt idx="93">
                  <c:v>-9.7327510205044376</c:v>
                </c:pt>
                <c:pt idx="94">
                  <c:v>-11.333146008891461</c:v>
                </c:pt>
                <c:pt idx="95">
                  <c:v>-12.98725096458012</c:v>
                </c:pt>
                <c:pt idx="96">
                  <c:v>-14.69140743023393</c:v>
                </c:pt>
                <c:pt idx="97">
                  <c:v>-16.441147608158957</c:v>
                </c:pt>
                <c:pt idx="98">
                  <c:v>-18.231542276701955</c:v>
                </c:pt>
                <c:pt idx="99">
                  <c:v>-20.057523288890916</c:v>
                </c:pt>
                <c:pt idx="100">
                  <c:v>-21.914147537739733</c:v>
                </c:pt>
                <c:pt idx="101">
                  <c:v>-23.79678783884593</c:v>
                </c:pt>
                <c:pt idx="102">
                  <c:v>-25.701251577454713</c:v>
                </c:pt>
                <c:pt idx="103">
                  <c:v>-27.623837711617288</c:v>
                </c:pt>
                <c:pt idx="104">
                  <c:v>-29.561346925047062</c:v>
                </c:pt>
                <c:pt idx="105">
                  <c:v>-31.511059869902709</c:v>
                </c:pt>
                <c:pt idx="106">
                  <c:v>-33.470696297373607</c:v>
                </c:pt>
                <c:pt idx="107">
                  <c:v>-35.43836486776047</c:v>
                </c:pt>
                <c:pt idx="108">
                  <c:v>-37.412510461916213</c:v>
                </c:pt>
                <c:pt idx="109">
                  <c:v>-39.391863323402205</c:v>
                </c:pt>
                <c:pt idx="110">
                  <c:v>-41.375392476921945</c:v>
                </c:pt>
                <c:pt idx="111">
                  <c:v>-43.362264555982733</c:v>
                </c:pt>
                <c:pt idx="112">
                  <c:v>-45.351808323741793</c:v>
                </c:pt>
                <c:pt idx="113">
                  <c:v>-47.343484665245143</c:v>
                </c:pt>
                <c:pt idx="114">
                  <c:v>-49.336861560611602</c:v>
                </c:pt>
                <c:pt idx="115">
                  <c:v>-51.331593434131307</c:v>
                </c:pt>
                <c:pt idx="116">
                  <c:v>-53.327404253678964</c:v>
                </c:pt>
                <c:pt idx="117">
                  <c:v>-55.324073787276475</c:v>
                </c:pt>
                <c:pt idx="118">
                  <c:v>-57.321426482462627</c:v>
                </c:pt>
                <c:pt idx="119">
                  <c:v>-59.319322502904058</c:v>
                </c:pt>
                <c:pt idx="120">
                  <c:v>-61.317650525840406</c:v>
                </c:pt>
                <c:pt idx="121">
                  <c:v>-63.316321968377892</c:v>
                </c:pt>
                <c:pt idx="122">
                  <c:v>-65.315266367964369</c:v>
                </c:pt>
                <c:pt idx="123">
                  <c:v>-67.314427691866413</c:v>
                </c:pt>
                <c:pt idx="124">
                  <c:v>-69.31376139232411</c:v>
                </c:pt>
                <c:pt idx="125">
                  <c:v>-71.31323205892572</c:v>
                </c:pt>
                <c:pt idx="126">
                  <c:v>-73.31281154847936</c:v>
                </c:pt>
                <c:pt idx="127">
                  <c:v>-75.312477496140204</c:v>
                </c:pt>
                <c:pt idx="128">
                  <c:v>-77.312212130622896</c:v>
                </c:pt>
                <c:pt idx="129">
                  <c:v>-79.312001331744185</c:v>
                </c:pt>
                <c:pt idx="130">
                  <c:v>-81.311833880951056</c:v>
                </c:pt>
                <c:pt idx="131">
                  <c:v>-83.311700865456871</c:v>
                </c:pt>
                <c:pt idx="132">
                  <c:v>-85.311595204590859</c:v>
                </c:pt>
                <c:pt idx="133">
                  <c:v>-87.311511273349623</c:v>
                </c:pt>
                <c:pt idx="134">
                  <c:v>-89.311444603239011</c:v>
                </c:pt>
                <c:pt idx="135">
                  <c:v>-91.311391644558327</c:v>
                </c:pt>
                <c:pt idx="136">
                  <c:v>-93.311349577522748</c:v>
                </c:pt>
                <c:pt idx="137">
                  <c:v>-95.311316162198324</c:v>
                </c:pt>
                <c:pt idx="138">
                  <c:v>-97.311289619279393</c:v>
                </c:pt>
                <c:pt idx="139">
                  <c:v>-99.311268535373813</c:v>
                </c:pt>
              </c:numCache>
            </c:numRef>
          </c:yVal>
          <c:smooth val="0"/>
          <c:extLst>
            <c:ext xmlns:c16="http://schemas.microsoft.com/office/drawing/2014/chart" uri="{C3380CC4-5D6E-409C-BE32-E72D297353CC}">
              <c16:uniqueId val="{00000002-4483-4707-8A74-9FBF4317CBB8}"/>
            </c:ext>
          </c:extLst>
        </c:ser>
        <c:dLbls>
          <c:showLegendKey val="0"/>
          <c:showVal val="0"/>
          <c:showCatName val="0"/>
          <c:showSerName val="0"/>
          <c:showPercent val="0"/>
          <c:showBubbleSize val="0"/>
        </c:dLbls>
        <c:axId val="2079424640"/>
        <c:axId val="2079450848"/>
      </c:scatterChart>
      <c:valAx>
        <c:axId val="2079424640"/>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ko-KR"/>
                  <a:t>Frequency</a:t>
                </a:r>
                <a:r>
                  <a:rPr lang="en-US" altLang="ko-KR" baseline="0"/>
                  <a:t> [Hz]</a:t>
                </a:r>
                <a:endParaRPr lang="ko-KR" alt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ko-K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2079450848"/>
        <c:crosses val="autoZero"/>
        <c:crossBetween val="midCat"/>
      </c:valAx>
      <c:valAx>
        <c:axId val="2079450848"/>
        <c:scaling>
          <c:orientation val="minMax"/>
          <c:max val="10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2079424640"/>
        <c:crossesAt val="1.0000000000000002E-3"/>
        <c:crossBetween val="midCat"/>
      </c:valAx>
      <c:spPr>
        <a:noFill/>
        <a:ln>
          <a:noFill/>
        </a:ln>
        <a:effectLst/>
      </c:spPr>
    </c:plotArea>
    <c:legend>
      <c:legendPos val="b"/>
      <c:layout>
        <c:manualLayout>
          <c:xMode val="edge"/>
          <c:yMode val="edge"/>
          <c:x val="8.4188881265662985E-2"/>
          <c:y val="0.90278269633196395"/>
          <c:w val="0.85177550487155118"/>
          <c:h val="7.49963256650546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accent5">
          <a:lumMod val="50000"/>
        </a:schemeClr>
      </a:solidFill>
      <a:round/>
    </a:ln>
    <a:effectLst/>
  </c:spPr>
  <c:txPr>
    <a:bodyPr/>
    <a:lstStyle/>
    <a:p>
      <a:pPr>
        <a:defRPr/>
      </a:pPr>
      <a:endParaRPr lang="ko-K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ko-KR"/>
              <a:t>Phase [deg]</a:t>
            </a:r>
            <a:endParaRPr lang="ko-KR"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o-KR"/>
        </a:p>
      </c:txPr>
    </c:title>
    <c:autoTitleDeleted val="0"/>
    <c:plotArea>
      <c:layout>
        <c:manualLayout>
          <c:layoutTarget val="inner"/>
          <c:xMode val="edge"/>
          <c:yMode val="edge"/>
          <c:x val="8.7816775873368114E-2"/>
          <c:y val="0.12469075735873407"/>
          <c:w val="0.84930491932997298"/>
          <c:h val="0.72846730993330355"/>
        </c:manualLayout>
      </c:layout>
      <c:scatterChart>
        <c:scatterStyle val="lineMarker"/>
        <c:varyColors val="0"/>
        <c:ser>
          <c:idx val="0"/>
          <c:order val="0"/>
          <c:tx>
            <c:strRef>
              <c:f>'NCP1623 design tool'!$AB$57</c:f>
              <c:strCache>
                <c:ptCount val="1"/>
                <c:pt idx="0">
                  <c:v>control to output</c:v>
                </c:pt>
              </c:strCache>
            </c:strRef>
          </c:tx>
          <c:spPr>
            <a:ln w="19050" cap="rnd">
              <a:solidFill>
                <a:schemeClr val="accent1"/>
              </a:solidFill>
              <a:round/>
            </a:ln>
            <a:effectLst/>
          </c:spPr>
          <c:marker>
            <c:symbol val="none"/>
          </c:marker>
          <c:xVal>
            <c:numRef>
              <c:f>'NCP1623 design tool'!$Z$58:$Z$197</c:f>
              <c:numCache>
                <c:formatCode>General</c:formatCode>
                <c:ptCount val="140"/>
                <c:pt idx="0">
                  <c:v>1.1220184543019637E-3</c:v>
                </c:pt>
                <c:pt idx="1">
                  <c:v>1.2589254117941673E-3</c:v>
                </c:pt>
                <c:pt idx="2">
                  <c:v>1.4125375446227544E-3</c:v>
                </c:pt>
                <c:pt idx="3">
                  <c:v>1.5848931924611136E-3</c:v>
                </c:pt>
                <c:pt idx="4">
                  <c:v>1.778279410038923E-3</c:v>
                </c:pt>
                <c:pt idx="5">
                  <c:v>1.9952623149688798E-3</c:v>
                </c:pt>
                <c:pt idx="6">
                  <c:v>2.2387211385683395E-3</c:v>
                </c:pt>
                <c:pt idx="7">
                  <c:v>2.5118864315095807E-3</c:v>
                </c:pt>
                <c:pt idx="8">
                  <c:v>2.8183829312644544E-3</c:v>
                </c:pt>
                <c:pt idx="9">
                  <c:v>3.1622776601683794E-3</c:v>
                </c:pt>
                <c:pt idx="10">
                  <c:v>3.5481338923357554E-3</c:v>
                </c:pt>
                <c:pt idx="11">
                  <c:v>3.9810717055349725E-3</c:v>
                </c:pt>
                <c:pt idx="12">
                  <c:v>4.4668359215096322E-3</c:v>
                </c:pt>
                <c:pt idx="13">
                  <c:v>5.0118723362727229E-3</c:v>
                </c:pt>
                <c:pt idx="14">
                  <c:v>5.6234132519034918E-3</c:v>
                </c:pt>
                <c:pt idx="15">
                  <c:v>6.3095734448019346E-3</c:v>
                </c:pt>
                <c:pt idx="16">
                  <c:v>7.0794578438413795E-3</c:v>
                </c:pt>
                <c:pt idx="17">
                  <c:v>7.9432823472428173E-3</c:v>
                </c:pt>
                <c:pt idx="18">
                  <c:v>8.9125093813374572E-3</c:v>
                </c:pt>
                <c:pt idx="19">
                  <c:v>0.01</c:v>
                </c:pt>
                <c:pt idx="20">
                  <c:v>1.1220184543019636E-2</c:v>
                </c:pt>
                <c:pt idx="21">
                  <c:v>1.258925411794168E-2</c:v>
                </c:pt>
                <c:pt idx="22">
                  <c:v>1.4125375446227544E-2</c:v>
                </c:pt>
                <c:pt idx="23">
                  <c:v>1.5848931924611138E-2</c:v>
                </c:pt>
                <c:pt idx="24">
                  <c:v>1.7782794100389236E-2</c:v>
                </c:pt>
                <c:pt idx="25">
                  <c:v>1.9952623149688806E-2</c:v>
                </c:pt>
                <c:pt idx="26">
                  <c:v>2.2387211385683406E-2</c:v>
                </c:pt>
                <c:pt idx="27">
                  <c:v>2.5118864315095798E-2</c:v>
                </c:pt>
                <c:pt idx="28">
                  <c:v>2.818382931264455E-2</c:v>
                </c:pt>
                <c:pt idx="29">
                  <c:v>3.1622776601683805E-2</c:v>
                </c:pt>
                <c:pt idx="30">
                  <c:v>3.5481338923357558E-2</c:v>
                </c:pt>
                <c:pt idx="31">
                  <c:v>3.9810717055349755E-2</c:v>
                </c:pt>
                <c:pt idx="32">
                  <c:v>4.4668359215096327E-2</c:v>
                </c:pt>
                <c:pt idx="33">
                  <c:v>5.0118723362727241E-2</c:v>
                </c:pt>
                <c:pt idx="34">
                  <c:v>5.6234132519034918E-2</c:v>
                </c:pt>
                <c:pt idx="35">
                  <c:v>6.3095734448019372E-2</c:v>
                </c:pt>
                <c:pt idx="36">
                  <c:v>7.0794578438413872E-2</c:v>
                </c:pt>
                <c:pt idx="37">
                  <c:v>7.9432823472428193E-2</c:v>
                </c:pt>
                <c:pt idx="38">
                  <c:v>8.9125093813374565E-2</c:v>
                </c:pt>
                <c:pt idx="39">
                  <c:v>0.1</c:v>
                </c:pt>
                <c:pt idx="40">
                  <c:v>0.11220184543019635</c:v>
                </c:pt>
                <c:pt idx="41">
                  <c:v>0.12589254117941678</c:v>
                </c:pt>
                <c:pt idx="42">
                  <c:v>0.14125375446227542</c:v>
                </c:pt>
                <c:pt idx="43">
                  <c:v>0.15848931924611154</c:v>
                </c:pt>
                <c:pt idx="44">
                  <c:v>0.17782794100389243</c:v>
                </c:pt>
                <c:pt idx="45">
                  <c:v>0.19952623149688803</c:v>
                </c:pt>
                <c:pt idx="46">
                  <c:v>0.22387211385683412</c:v>
                </c:pt>
                <c:pt idx="47">
                  <c:v>0.25118864315095807</c:v>
                </c:pt>
                <c:pt idx="48">
                  <c:v>0.28183829312644554</c:v>
                </c:pt>
                <c:pt idx="49">
                  <c:v>0.31622776601683827</c:v>
                </c:pt>
                <c:pt idx="50">
                  <c:v>0.35481338923357569</c:v>
                </c:pt>
                <c:pt idx="51">
                  <c:v>0.39810717055349759</c:v>
                </c:pt>
                <c:pt idx="52">
                  <c:v>0.44668359215096332</c:v>
                </c:pt>
                <c:pt idx="53">
                  <c:v>0.50118723362727269</c:v>
                </c:pt>
                <c:pt idx="54">
                  <c:v>0.56234132519034929</c:v>
                </c:pt>
                <c:pt idx="55">
                  <c:v>0.63095734448019325</c:v>
                </c:pt>
                <c:pt idx="56">
                  <c:v>0.7079457843841388</c:v>
                </c:pt>
                <c:pt idx="57">
                  <c:v>0.79432823472428205</c:v>
                </c:pt>
                <c:pt idx="58">
                  <c:v>0.89125093813374656</c:v>
                </c:pt>
                <c:pt idx="59">
                  <c:v>1</c:v>
                </c:pt>
                <c:pt idx="60">
                  <c:v>1.1220184543019636</c:v>
                </c:pt>
                <c:pt idx="61">
                  <c:v>1.2589254117941679</c:v>
                </c:pt>
                <c:pt idx="62">
                  <c:v>1.4125375446227546</c:v>
                </c:pt>
                <c:pt idx="63">
                  <c:v>1.5848931924611156</c:v>
                </c:pt>
                <c:pt idx="64">
                  <c:v>1.7782794100389245</c:v>
                </c:pt>
                <c:pt idx="65">
                  <c:v>1.9952623149688804</c:v>
                </c:pt>
                <c:pt idx="66">
                  <c:v>2.2387211385683417</c:v>
                </c:pt>
                <c:pt idx="67">
                  <c:v>2.511886431509581</c:v>
                </c:pt>
                <c:pt idx="68">
                  <c:v>2.8183829312644564</c:v>
                </c:pt>
                <c:pt idx="69">
                  <c:v>3.1622776601683804</c:v>
                </c:pt>
                <c:pt idx="70">
                  <c:v>3.5481338923357542</c:v>
                </c:pt>
                <c:pt idx="71">
                  <c:v>3.9810717055349771</c:v>
                </c:pt>
                <c:pt idx="72">
                  <c:v>4.4668359215096345</c:v>
                </c:pt>
                <c:pt idx="73">
                  <c:v>5.0118723362727327</c:v>
                </c:pt>
                <c:pt idx="74">
                  <c:v>5.6234132519034992</c:v>
                </c:pt>
                <c:pt idx="75">
                  <c:v>6.3095734448019387</c:v>
                </c:pt>
                <c:pt idx="76">
                  <c:v>7.0794578438413831</c:v>
                </c:pt>
                <c:pt idx="77">
                  <c:v>7.9432823472428158</c:v>
                </c:pt>
                <c:pt idx="78">
                  <c:v>8.9125093813374683</c:v>
                </c:pt>
                <c:pt idx="79">
                  <c:v>10</c:v>
                </c:pt>
                <c:pt idx="80">
                  <c:v>11.22018454301964</c:v>
                </c:pt>
                <c:pt idx="81">
                  <c:v>12.589254117941671</c:v>
                </c:pt>
                <c:pt idx="82">
                  <c:v>14.125375446227562</c:v>
                </c:pt>
                <c:pt idx="83">
                  <c:v>15.848931924611147</c:v>
                </c:pt>
                <c:pt idx="84">
                  <c:v>17.782794100389236</c:v>
                </c:pt>
                <c:pt idx="85">
                  <c:v>19.952623149688794</c:v>
                </c:pt>
                <c:pt idx="86">
                  <c:v>22.387211385683383</c:v>
                </c:pt>
                <c:pt idx="87">
                  <c:v>25.118864315095859</c:v>
                </c:pt>
                <c:pt idx="88">
                  <c:v>28.183829312644594</c:v>
                </c:pt>
                <c:pt idx="89">
                  <c:v>31.622776601683839</c:v>
                </c:pt>
                <c:pt idx="90">
                  <c:v>35.481338923357583</c:v>
                </c:pt>
                <c:pt idx="91">
                  <c:v>39.810717055349741</c:v>
                </c:pt>
                <c:pt idx="92">
                  <c:v>44.668359215096388</c:v>
                </c:pt>
                <c:pt idx="93">
                  <c:v>50.118723362727295</c:v>
                </c:pt>
                <c:pt idx="94">
                  <c:v>56.234132519034951</c:v>
                </c:pt>
                <c:pt idx="95">
                  <c:v>63.095734448019343</c:v>
                </c:pt>
                <c:pt idx="96">
                  <c:v>70.79457843841378</c:v>
                </c:pt>
                <c:pt idx="97">
                  <c:v>79.43282347242824</c:v>
                </c:pt>
                <c:pt idx="98">
                  <c:v>89.125093813374605</c:v>
                </c:pt>
                <c:pt idx="99">
                  <c:v>100</c:v>
                </c:pt>
                <c:pt idx="100">
                  <c:v>112.20184543019651</c:v>
                </c:pt>
                <c:pt idx="101">
                  <c:v>125.89254117941685</c:v>
                </c:pt>
                <c:pt idx="102">
                  <c:v>141.25375446227577</c:v>
                </c:pt>
                <c:pt idx="103">
                  <c:v>158.48931924611165</c:v>
                </c:pt>
                <c:pt idx="104">
                  <c:v>177.82794100389251</c:v>
                </c:pt>
                <c:pt idx="105">
                  <c:v>199.52623149688813</c:v>
                </c:pt>
                <c:pt idx="106">
                  <c:v>223.87211385683403</c:v>
                </c:pt>
                <c:pt idx="107">
                  <c:v>251.18864315095846</c:v>
                </c:pt>
                <c:pt idx="108">
                  <c:v>281.83829312644576</c:v>
                </c:pt>
                <c:pt idx="109">
                  <c:v>316.22776601683819</c:v>
                </c:pt>
                <c:pt idx="110">
                  <c:v>354.81338923357555</c:v>
                </c:pt>
                <c:pt idx="111">
                  <c:v>398.10717055349716</c:v>
                </c:pt>
                <c:pt idx="112">
                  <c:v>446.68359215096444</c:v>
                </c:pt>
                <c:pt idx="113">
                  <c:v>501.18723362727349</c:v>
                </c:pt>
                <c:pt idx="114">
                  <c:v>562.34132519035018</c:v>
                </c:pt>
                <c:pt idx="115">
                  <c:v>630.95734448019414</c:v>
                </c:pt>
                <c:pt idx="116">
                  <c:v>707.94578438413851</c:v>
                </c:pt>
                <c:pt idx="117">
                  <c:v>794.32823472428333</c:v>
                </c:pt>
                <c:pt idx="118">
                  <c:v>891.25093813374713</c:v>
                </c:pt>
                <c:pt idx="119">
                  <c:v>1000</c:v>
                </c:pt>
                <c:pt idx="120">
                  <c:v>1122.0184543019643</c:v>
                </c:pt>
                <c:pt idx="121">
                  <c:v>1258.9254117941678</c:v>
                </c:pt>
                <c:pt idx="122">
                  <c:v>1412.5375446227565</c:v>
                </c:pt>
                <c:pt idx="123">
                  <c:v>1584.8931924611154</c:v>
                </c:pt>
                <c:pt idx="124">
                  <c:v>1778.2794100389242</c:v>
                </c:pt>
                <c:pt idx="125">
                  <c:v>1995.26231496888</c:v>
                </c:pt>
                <c:pt idx="126">
                  <c:v>2238.721138568339</c:v>
                </c:pt>
                <c:pt idx="127">
                  <c:v>2511.8864315095871</c:v>
                </c:pt>
                <c:pt idx="128">
                  <c:v>2818.3829312644607</c:v>
                </c:pt>
                <c:pt idx="129">
                  <c:v>3162.2776601683854</c:v>
                </c:pt>
                <c:pt idx="130">
                  <c:v>3548.1338923357594</c:v>
                </c:pt>
                <c:pt idx="131">
                  <c:v>3981.071705534976</c:v>
                </c:pt>
                <c:pt idx="132">
                  <c:v>4466.8359215096416</c:v>
                </c:pt>
                <c:pt idx="133">
                  <c:v>5011.8723362727314</c:v>
                </c:pt>
                <c:pt idx="134">
                  <c:v>5623.4132519034974</c:v>
                </c:pt>
                <c:pt idx="135">
                  <c:v>6309.5734448019375</c:v>
                </c:pt>
                <c:pt idx="136">
                  <c:v>7079.4578438413819</c:v>
                </c:pt>
                <c:pt idx="137">
                  <c:v>7943.2823472428281</c:v>
                </c:pt>
                <c:pt idx="138">
                  <c:v>8912.509381337466</c:v>
                </c:pt>
                <c:pt idx="139">
                  <c:v>10000</c:v>
                </c:pt>
              </c:numCache>
            </c:numRef>
          </c:xVal>
          <c:yVal>
            <c:numRef>
              <c:f>'NCP1623 design tool'!$AB$58:$AB$197</c:f>
              <c:numCache>
                <c:formatCode>General</c:formatCode>
                <c:ptCount val="140"/>
                <c:pt idx="0">
                  <c:v>-2.0888661519001445E-2</c:v>
                </c:pt>
                <c:pt idx="1">
                  <c:v>-2.3437463441118373E-2</c:v>
                </c:pt>
                <c:pt idx="2">
                  <c:v>-2.6297266123175535E-2</c:v>
                </c:pt>
                <c:pt idx="3">
                  <c:v>-2.9506017351429614E-2</c:v>
                </c:pt>
                <c:pt idx="4">
                  <c:v>-3.3106295223483621E-2</c:v>
                </c:pt>
                <c:pt idx="5">
                  <c:v>-3.7145873123932964E-2</c:v>
                </c:pt>
                <c:pt idx="6">
                  <c:v>-4.1678353634253838E-2</c:v>
                </c:pt>
                <c:pt idx="7">
                  <c:v>-4.6763879786858614E-2</c:v>
                </c:pt>
                <c:pt idx="8">
                  <c:v>-5.2469933098861589E-2</c:v>
                </c:pt>
                <c:pt idx="9">
                  <c:v>-5.8872228971637144E-2</c:v>
                </c:pt>
                <c:pt idx="10">
                  <c:v>-6.6055721332858489E-2</c:v>
                </c:pt>
                <c:pt idx="11">
                  <c:v>-7.4115729845339415E-2</c:v>
                </c:pt>
                <c:pt idx="12">
                  <c:v>-8.3159204630638625E-2</c:v>
                </c:pt>
                <c:pt idx="13">
                  <c:v>-9.3306145276237776E-2</c:v>
                </c:pt>
                <c:pt idx="14">
                  <c:v>-0.10469119293686761</c:v>
                </c:pt>
                <c:pt idx="15">
                  <c:v>-0.11746541662965738</c:v>
                </c:pt>
                <c:pt idx="16">
                  <c:v>-0.13179831738867087</c:v>
                </c:pt>
                <c:pt idx="17">
                  <c:v>-0.14788007681978696</c:v>
                </c:pt>
                <c:pt idx="18">
                  <c:v>-0.16592407981808255</c:v>
                </c:pt>
                <c:pt idx="19">
                  <c:v>-0.186169744816993</c:v>
                </c:pt>
                <c:pt idx="20">
                  <c:v>-0.20888569897570022</c:v>
                </c:pt>
                <c:pt idx="21">
                  <c:v>-0.2343733402267652</c:v>
                </c:pt>
                <c:pt idx="22">
                  <c:v>-0.26297083315247405</c:v>
                </c:pt>
                <c:pt idx="23">
                  <c:v>-0.29505759129221187</c:v>
                </c:pt>
                <c:pt idx="24">
                  <c:v>-0.3310593047643714</c:v>
                </c:pt>
                <c:pt idx="25">
                  <c:v>-0.371453579077345</c:v>
                </c:pt>
                <c:pt idx="26">
                  <c:v>-0.41677625876829383</c:v>
                </c:pt>
                <c:pt idx="27">
                  <c:v>-0.46762851810707823</c:v>
                </c:pt>
                <c:pt idx="28">
                  <c:v>-0.52468481059130345</c:v>
                </c:pt>
                <c:pt idx="29">
                  <c:v>-0.58870177937988144</c:v>
                </c:pt>
                <c:pt idx="30">
                  <c:v>-0.66052824218813877</c:v>
                </c:pt>
                <c:pt idx="31">
                  <c:v>-0.74111637648316064</c:v>
                </c:pt>
                <c:pt idx="32">
                  <c:v>-0.83153424400445375</c:v>
                </c:pt>
                <c:pt idx="33">
                  <c:v>-0.93297980753894594</c:v>
                </c:pt>
                <c:pt idx="34">
                  <c:v>-1.0467966072229935</c:v>
                </c:pt>
                <c:pt idx="35">
                  <c:v>-1.1744912779668748</c:v>
                </c:pt>
                <c:pt idx="36">
                  <c:v>-1.3177531031734657</c:v>
                </c:pt>
                <c:pt idx="37">
                  <c:v>-1.478475811645767</c:v>
                </c:pt>
                <c:pt idx="38">
                  <c:v>-1.6587818327971386</c:v>
                </c:pt>
                <c:pt idx="39">
                  <c:v>-1.8610492275724071</c:v>
                </c:pt>
                <c:pt idx="40">
                  <c:v>-2.087941505350829</c:v>
                </c:pt>
                <c:pt idx="41">
                  <c:v>-2.3424405155075561</c:v>
                </c:pt>
                <c:pt idx="42">
                  <c:v>-2.6278825591227926</c:v>
                </c:pt>
                <c:pt idx="43">
                  <c:v>-2.9479977915030244</c:v>
                </c:pt>
                <c:pt idx="44">
                  <c:v>-3.3069528657043823</c:v>
                </c:pt>
                <c:pt idx="45">
                  <c:v>-3.7093965817675385</c:v>
                </c:pt>
                <c:pt idx="46">
                  <c:v>-4.1605080294457011</c:v>
                </c:pt>
                <c:pt idx="47">
                  <c:v>-4.6660463082165125</c:v>
                </c:pt>
                <c:pt idx="48">
                  <c:v>-5.2324003301830606</c:v>
                </c:pt>
                <c:pt idx="49">
                  <c:v>-5.8666363981882306</c:v>
                </c:pt>
                <c:pt idx="50">
                  <c:v>-6.5765401269856509</c:v>
                </c:pt>
                <c:pt idx="51">
                  <c:v>-7.3706477491532958</c:v>
                </c:pt>
                <c:pt idx="52">
                  <c:v>-8.2582598204885169</c:v>
                </c:pt>
                <c:pt idx="53">
                  <c:v>-9.2494277192122514</c:v>
                </c:pt>
                <c:pt idx="54">
                  <c:v>-10.354900064622274</c:v>
                </c:pt>
                <c:pt idx="55">
                  <c:v>-11.58601230472104</c:v>
                </c:pt>
                <c:pt idx="56">
                  <c:v>-12.954498471959928</c:v>
                </c:pt>
                <c:pt idx="57">
                  <c:v>-14.472200053953289</c:v>
                </c:pt>
                <c:pt idx="58">
                  <c:v>-16.150644181291412</c:v>
                </c:pt>
                <c:pt idx="59">
                  <c:v>-18.000463763063891</c:v>
                </c:pt>
                <c:pt idx="60">
                  <c:v>-20.030638570664287</c:v>
                </c:pt>
                <c:pt idx="61">
                  <c:v>-22.24755212782226</c:v>
                </c:pt>
                <c:pt idx="62">
                  <c:v>-24.653888213823841</c:v>
                </c:pt>
                <c:pt idx="63">
                  <c:v>-27.247434802734073</c:v>
                </c:pt>
                <c:pt idx="64">
                  <c:v>-30.019919886877979</c:v>
                </c:pt>
                <c:pt idx="65">
                  <c:v>-32.956062672426093</c:v>
                </c:pt>
                <c:pt idx="66">
                  <c:v>-36.033065309509425</c:v>
                </c:pt>
                <c:pt idx="67">
                  <c:v>-39.220768094519528</c:v>
                </c:pt>
                <c:pt idx="68">
                  <c:v>-42.482621803080228</c:v>
                </c:pt>
                <c:pt idx="69">
                  <c:v>-45.777490537886571</c:v>
                </c:pt>
                <c:pt idx="70">
                  <c:v>-49.062115425697407</c:v>
                </c:pt>
                <c:pt idx="71">
                  <c:v>-52.29390168124889</c:v>
                </c:pt>
                <c:pt idx="72">
                  <c:v>-55.433603352263802</c:v>
                </c:pt>
                <c:pt idx="73">
                  <c:v>-58.447508373273394</c:v>
                </c:pt>
                <c:pt idx="74">
                  <c:v>-61.308859338977243</c:v>
                </c:pt>
                <c:pt idx="75">
                  <c:v>-63.998428805507899</c:v>
                </c:pt>
                <c:pt idx="76">
                  <c:v>-66.504336525960809</c:v>
                </c:pt>
                <c:pt idx="77">
                  <c:v>-68.821304196241684</c:v>
                </c:pt>
                <c:pt idx="78">
                  <c:v>-70.949578888896355</c:v>
                </c:pt>
                <c:pt idx="79">
                  <c:v>-72.893734458501143</c:v>
                </c:pt>
                <c:pt idx="80">
                  <c:v>-74.661507301038682</c:v>
                </c:pt>
                <c:pt idx="81">
                  <c:v>-76.262763075004671</c:v>
                </c:pt>
                <c:pt idx="82">
                  <c:v>-77.708639588203297</c:v>
                </c:pt>
                <c:pt idx="83">
                  <c:v>-79.010874184563775</c:v>
                </c:pt>
                <c:pt idx="84">
                  <c:v>-80.181301587953598</c:v>
                </c:pt>
                <c:pt idx="85">
                  <c:v>-81.231497248128704</c:v>
                </c:pt>
                <c:pt idx="86">
                  <c:v>-82.172538067889519</c:v>
                </c:pt>
                <c:pt idx="87">
                  <c:v>-83.014853746513893</c:v>
                </c:pt>
                <c:pt idx="88">
                  <c:v>-83.768145517111904</c:v>
                </c:pt>
                <c:pt idx="89">
                  <c:v>-84.441353301519996</c:v>
                </c:pt>
                <c:pt idx="90">
                  <c:v>-85.042656426766698</c:v>
                </c:pt>
                <c:pt idx="91">
                  <c:v>-85.579496651334267</c:v>
                </c:pt>
                <c:pt idx="92">
                  <c:v>-86.058615209951583</c:v>
                </c:pt>
                <c:pt idx="93">
                  <c:v>-86.486097916102153</c:v>
                </c:pt>
                <c:pt idx="94">
                  <c:v>-86.867424139802623</c:v>
                </c:pt>
                <c:pt idx="95">
                  <c:v>-87.207516802926662</c:v>
                </c:pt>
                <c:pt idx="96">
                  <c:v>-87.510791501638579</c:v>
                </c:pt>
                <c:pt idx="97">
                  <c:v>-87.781203559392452</c:v>
                </c:pt>
                <c:pt idx="98">
                  <c:v>-88.022292303303232</c:v>
                </c:pt>
                <c:pt idx="99">
                  <c:v>-88.237222195662184</c:v>
                </c:pt>
                <c:pt idx="100">
                  <c:v>-88.428820682352978</c:v>
                </c:pt>
                <c:pt idx="101">
                  <c:v>-88.599612771937657</c:v>
                </c:pt>
                <c:pt idx="102">
                  <c:v>-88.751852456082204</c:v>
                </c:pt>
                <c:pt idx="103">
                  <c:v>-88.887551140423625</c:v>
                </c:pt>
                <c:pt idx="104">
                  <c:v>-89.008503286934371</c:v>
                </c:pt>
                <c:pt idx="105">
                  <c:v>-89.116309482872325</c:v>
                </c:pt>
                <c:pt idx="106">
                  <c:v>-89.212397153574415</c:v>
                </c:pt>
                <c:pt idx="107">
                  <c:v>-89.298039130900705</c:v>
                </c:pt>
                <c:pt idx="108">
                  <c:v>-89.374370279016986</c:v>
                </c:pt>
                <c:pt idx="109">
                  <c:v>-89.4424023664386</c:v>
                </c:pt>
                <c:pt idx="110">
                  <c:v>-89.503037359219022</c:v>
                </c:pt>
                <c:pt idx="111">
                  <c:v>-89.557079295761667</c:v>
                </c:pt>
                <c:pt idx="112">
                  <c:v>-89.605244889552836</c:v>
                </c:pt>
                <c:pt idx="113">
                  <c:v>-89.648172992522063</c:v>
                </c:pt>
                <c:pt idx="114">
                  <c:v>-89.686433038947229</c:v>
                </c:pt>
                <c:pt idx="115">
                  <c:v>-89.720532577944411</c:v>
                </c:pt>
                <c:pt idx="116">
                  <c:v>-89.75092399165807</c:v>
                </c:pt>
                <c:pt idx="117">
                  <c:v>-89.778010486289162</c:v>
                </c:pt>
                <c:pt idx="118">
                  <c:v>-89.802151434036574</c:v>
                </c:pt>
                <c:pt idx="119">
                  <c:v>-89.823667135829382</c:v>
                </c:pt>
                <c:pt idx="120">
                  <c:v>-89.842843067335394</c:v>
                </c:pt>
                <c:pt idx="121">
                  <c:v>-89.859933664083329</c:v>
                </c:pt>
                <c:pt idx="122">
                  <c:v>-89.875165695567603</c:v>
                </c:pt>
                <c:pt idx="123">
                  <c:v>-89.888741272854901</c:v>
                </c:pt>
                <c:pt idx="124">
                  <c:v>-89.900840529422723</c:v>
                </c:pt>
                <c:pt idx="125">
                  <c:v>-89.911624010675922</c:v>
                </c:pt>
                <c:pt idx="126">
                  <c:v>-89.921234803759148</c:v>
                </c:pt>
                <c:pt idx="127">
                  <c:v>-89.929800435862873</c:v>
                </c:pt>
                <c:pt idx="128">
                  <c:v>-89.937434566167298</c:v>
                </c:pt>
                <c:pt idx="129">
                  <c:v>-89.944238493843486</c:v>
                </c:pt>
                <c:pt idx="130">
                  <c:v>-89.950302502099163</c:v>
                </c:pt>
                <c:pt idx="131">
                  <c:v>-89.955707056088372</c:v>
                </c:pt>
                <c:pt idx="132">
                  <c:v>-89.960523870568679</c:v>
                </c:pt>
                <c:pt idx="133">
                  <c:v>-89.964816861465422</c:v>
                </c:pt>
                <c:pt idx="134">
                  <c:v>-89.968642993963954</c:v>
                </c:pt>
                <c:pt idx="135">
                  <c:v>-89.972053038379457</c:v>
                </c:pt>
                <c:pt idx="136">
                  <c:v>-89.975092243831426</c:v>
                </c:pt>
                <c:pt idx="137">
                  <c:v>-89.977800938660337</c:v>
                </c:pt>
                <c:pt idx="138">
                  <c:v>-89.980215065551732</c:v>
                </c:pt>
                <c:pt idx="139">
                  <c:v>-89.98236665846791</c:v>
                </c:pt>
              </c:numCache>
            </c:numRef>
          </c:yVal>
          <c:smooth val="0"/>
          <c:extLst>
            <c:ext xmlns:c16="http://schemas.microsoft.com/office/drawing/2014/chart" uri="{C3380CC4-5D6E-409C-BE32-E72D297353CC}">
              <c16:uniqueId val="{00000000-C163-4D77-B5E3-675FB533927A}"/>
            </c:ext>
          </c:extLst>
        </c:ser>
        <c:ser>
          <c:idx val="1"/>
          <c:order val="1"/>
          <c:tx>
            <c:strRef>
              <c:f>'NCP1623 design tool'!$AD$57</c:f>
              <c:strCache>
                <c:ptCount val="1"/>
                <c:pt idx="0">
                  <c:v>compensator</c:v>
                </c:pt>
              </c:strCache>
            </c:strRef>
          </c:tx>
          <c:spPr>
            <a:ln w="19050" cap="rnd">
              <a:solidFill>
                <a:schemeClr val="accent2"/>
              </a:solidFill>
              <a:round/>
            </a:ln>
            <a:effectLst/>
          </c:spPr>
          <c:marker>
            <c:symbol val="none"/>
          </c:marker>
          <c:xVal>
            <c:numRef>
              <c:f>'NCP1623 design tool'!$Z$58:$Z$197</c:f>
              <c:numCache>
                <c:formatCode>General</c:formatCode>
                <c:ptCount val="140"/>
                <c:pt idx="0">
                  <c:v>1.1220184543019637E-3</c:v>
                </c:pt>
                <c:pt idx="1">
                  <c:v>1.2589254117941673E-3</c:v>
                </c:pt>
                <c:pt idx="2">
                  <c:v>1.4125375446227544E-3</c:v>
                </c:pt>
                <c:pt idx="3">
                  <c:v>1.5848931924611136E-3</c:v>
                </c:pt>
                <c:pt idx="4">
                  <c:v>1.778279410038923E-3</c:v>
                </c:pt>
                <c:pt idx="5">
                  <c:v>1.9952623149688798E-3</c:v>
                </c:pt>
                <c:pt idx="6">
                  <c:v>2.2387211385683395E-3</c:v>
                </c:pt>
                <c:pt idx="7">
                  <c:v>2.5118864315095807E-3</c:v>
                </c:pt>
                <c:pt idx="8">
                  <c:v>2.8183829312644544E-3</c:v>
                </c:pt>
                <c:pt idx="9">
                  <c:v>3.1622776601683794E-3</c:v>
                </c:pt>
                <c:pt idx="10">
                  <c:v>3.5481338923357554E-3</c:v>
                </c:pt>
                <c:pt idx="11">
                  <c:v>3.9810717055349725E-3</c:v>
                </c:pt>
                <c:pt idx="12">
                  <c:v>4.4668359215096322E-3</c:v>
                </c:pt>
                <c:pt idx="13">
                  <c:v>5.0118723362727229E-3</c:v>
                </c:pt>
                <c:pt idx="14">
                  <c:v>5.6234132519034918E-3</c:v>
                </c:pt>
                <c:pt idx="15">
                  <c:v>6.3095734448019346E-3</c:v>
                </c:pt>
                <c:pt idx="16">
                  <c:v>7.0794578438413795E-3</c:v>
                </c:pt>
                <c:pt idx="17">
                  <c:v>7.9432823472428173E-3</c:v>
                </c:pt>
                <c:pt idx="18">
                  <c:v>8.9125093813374572E-3</c:v>
                </c:pt>
                <c:pt idx="19">
                  <c:v>0.01</c:v>
                </c:pt>
                <c:pt idx="20">
                  <c:v>1.1220184543019636E-2</c:v>
                </c:pt>
                <c:pt idx="21">
                  <c:v>1.258925411794168E-2</c:v>
                </c:pt>
                <c:pt idx="22">
                  <c:v>1.4125375446227544E-2</c:v>
                </c:pt>
                <c:pt idx="23">
                  <c:v>1.5848931924611138E-2</c:v>
                </c:pt>
                <c:pt idx="24">
                  <c:v>1.7782794100389236E-2</c:v>
                </c:pt>
                <c:pt idx="25">
                  <c:v>1.9952623149688806E-2</c:v>
                </c:pt>
                <c:pt idx="26">
                  <c:v>2.2387211385683406E-2</c:v>
                </c:pt>
                <c:pt idx="27">
                  <c:v>2.5118864315095798E-2</c:v>
                </c:pt>
                <c:pt idx="28">
                  <c:v>2.818382931264455E-2</c:v>
                </c:pt>
                <c:pt idx="29">
                  <c:v>3.1622776601683805E-2</c:v>
                </c:pt>
                <c:pt idx="30">
                  <c:v>3.5481338923357558E-2</c:v>
                </c:pt>
                <c:pt idx="31">
                  <c:v>3.9810717055349755E-2</c:v>
                </c:pt>
                <c:pt idx="32">
                  <c:v>4.4668359215096327E-2</c:v>
                </c:pt>
                <c:pt idx="33">
                  <c:v>5.0118723362727241E-2</c:v>
                </c:pt>
                <c:pt idx="34">
                  <c:v>5.6234132519034918E-2</c:v>
                </c:pt>
                <c:pt idx="35">
                  <c:v>6.3095734448019372E-2</c:v>
                </c:pt>
                <c:pt idx="36">
                  <c:v>7.0794578438413872E-2</c:v>
                </c:pt>
                <c:pt idx="37">
                  <c:v>7.9432823472428193E-2</c:v>
                </c:pt>
                <c:pt idx="38">
                  <c:v>8.9125093813374565E-2</c:v>
                </c:pt>
                <c:pt idx="39">
                  <c:v>0.1</c:v>
                </c:pt>
                <c:pt idx="40">
                  <c:v>0.11220184543019635</c:v>
                </c:pt>
                <c:pt idx="41">
                  <c:v>0.12589254117941678</c:v>
                </c:pt>
                <c:pt idx="42">
                  <c:v>0.14125375446227542</c:v>
                </c:pt>
                <c:pt idx="43">
                  <c:v>0.15848931924611154</c:v>
                </c:pt>
                <c:pt idx="44">
                  <c:v>0.17782794100389243</c:v>
                </c:pt>
                <c:pt idx="45">
                  <c:v>0.19952623149688803</c:v>
                </c:pt>
                <c:pt idx="46">
                  <c:v>0.22387211385683412</c:v>
                </c:pt>
                <c:pt idx="47">
                  <c:v>0.25118864315095807</c:v>
                </c:pt>
                <c:pt idx="48">
                  <c:v>0.28183829312644554</c:v>
                </c:pt>
                <c:pt idx="49">
                  <c:v>0.31622776601683827</c:v>
                </c:pt>
                <c:pt idx="50">
                  <c:v>0.35481338923357569</c:v>
                </c:pt>
                <c:pt idx="51">
                  <c:v>0.39810717055349759</c:v>
                </c:pt>
                <c:pt idx="52">
                  <c:v>0.44668359215096332</c:v>
                </c:pt>
                <c:pt idx="53">
                  <c:v>0.50118723362727269</c:v>
                </c:pt>
                <c:pt idx="54">
                  <c:v>0.56234132519034929</c:v>
                </c:pt>
                <c:pt idx="55">
                  <c:v>0.63095734448019325</c:v>
                </c:pt>
                <c:pt idx="56">
                  <c:v>0.7079457843841388</c:v>
                </c:pt>
                <c:pt idx="57">
                  <c:v>0.79432823472428205</c:v>
                </c:pt>
                <c:pt idx="58">
                  <c:v>0.89125093813374656</c:v>
                </c:pt>
                <c:pt idx="59">
                  <c:v>1</c:v>
                </c:pt>
                <c:pt idx="60">
                  <c:v>1.1220184543019636</c:v>
                </c:pt>
                <c:pt idx="61">
                  <c:v>1.2589254117941679</c:v>
                </c:pt>
                <c:pt idx="62">
                  <c:v>1.4125375446227546</c:v>
                </c:pt>
                <c:pt idx="63">
                  <c:v>1.5848931924611156</c:v>
                </c:pt>
                <c:pt idx="64">
                  <c:v>1.7782794100389245</c:v>
                </c:pt>
                <c:pt idx="65">
                  <c:v>1.9952623149688804</c:v>
                </c:pt>
                <c:pt idx="66">
                  <c:v>2.2387211385683417</c:v>
                </c:pt>
                <c:pt idx="67">
                  <c:v>2.511886431509581</c:v>
                </c:pt>
                <c:pt idx="68">
                  <c:v>2.8183829312644564</c:v>
                </c:pt>
                <c:pt idx="69">
                  <c:v>3.1622776601683804</c:v>
                </c:pt>
                <c:pt idx="70">
                  <c:v>3.5481338923357542</c:v>
                </c:pt>
                <c:pt idx="71">
                  <c:v>3.9810717055349771</c:v>
                </c:pt>
                <c:pt idx="72">
                  <c:v>4.4668359215096345</c:v>
                </c:pt>
                <c:pt idx="73">
                  <c:v>5.0118723362727327</c:v>
                </c:pt>
                <c:pt idx="74">
                  <c:v>5.6234132519034992</c:v>
                </c:pt>
                <c:pt idx="75">
                  <c:v>6.3095734448019387</c:v>
                </c:pt>
                <c:pt idx="76">
                  <c:v>7.0794578438413831</c:v>
                </c:pt>
                <c:pt idx="77">
                  <c:v>7.9432823472428158</c:v>
                </c:pt>
                <c:pt idx="78">
                  <c:v>8.9125093813374683</c:v>
                </c:pt>
                <c:pt idx="79">
                  <c:v>10</c:v>
                </c:pt>
                <c:pt idx="80">
                  <c:v>11.22018454301964</c:v>
                </c:pt>
                <c:pt idx="81">
                  <c:v>12.589254117941671</c:v>
                </c:pt>
                <c:pt idx="82">
                  <c:v>14.125375446227562</c:v>
                </c:pt>
                <c:pt idx="83">
                  <c:v>15.848931924611147</c:v>
                </c:pt>
                <c:pt idx="84">
                  <c:v>17.782794100389236</c:v>
                </c:pt>
                <c:pt idx="85">
                  <c:v>19.952623149688794</c:v>
                </c:pt>
                <c:pt idx="86">
                  <c:v>22.387211385683383</c:v>
                </c:pt>
                <c:pt idx="87">
                  <c:v>25.118864315095859</c:v>
                </c:pt>
                <c:pt idx="88">
                  <c:v>28.183829312644594</c:v>
                </c:pt>
                <c:pt idx="89">
                  <c:v>31.622776601683839</c:v>
                </c:pt>
                <c:pt idx="90">
                  <c:v>35.481338923357583</c:v>
                </c:pt>
                <c:pt idx="91">
                  <c:v>39.810717055349741</c:v>
                </c:pt>
                <c:pt idx="92">
                  <c:v>44.668359215096388</c:v>
                </c:pt>
                <c:pt idx="93">
                  <c:v>50.118723362727295</c:v>
                </c:pt>
                <c:pt idx="94">
                  <c:v>56.234132519034951</c:v>
                </c:pt>
                <c:pt idx="95">
                  <c:v>63.095734448019343</c:v>
                </c:pt>
                <c:pt idx="96">
                  <c:v>70.79457843841378</c:v>
                </c:pt>
                <c:pt idx="97">
                  <c:v>79.43282347242824</c:v>
                </c:pt>
                <c:pt idx="98">
                  <c:v>89.125093813374605</c:v>
                </c:pt>
                <c:pt idx="99">
                  <c:v>100</c:v>
                </c:pt>
                <c:pt idx="100">
                  <c:v>112.20184543019651</c:v>
                </c:pt>
                <c:pt idx="101">
                  <c:v>125.89254117941685</c:v>
                </c:pt>
                <c:pt idx="102">
                  <c:v>141.25375446227577</c:v>
                </c:pt>
                <c:pt idx="103">
                  <c:v>158.48931924611165</c:v>
                </c:pt>
                <c:pt idx="104">
                  <c:v>177.82794100389251</c:v>
                </c:pt>
                <c:pt idx="105">
                  <c:v>199.52623149688813</c:v>
                </c:pt>
                <c:pt idx="106">
                  <c:v>223.87211385683403</c:v>
                </c:pt>
                <c:pt idx="107">
                  <c:v>251.18864315095846</c:v>
                </c:pt>
                <c:pt idx="108">
                  <c:v>281.83829312644576</c:v>
                </c:pt>
                <c:pt idx="109">
                  <c:v>316.22776601683819</c:v>
                </c:pt>
                <c:pt idx="110">
                  <c:v>354.81338923357555</c:v>
                </c:pt>
                <c:pt idx="111">
                  <c:v>398.10717055349716</c:v>
                </c:pt>
                <c:pt idx="112">
                  <c:v>446.68359215096444</c:v>
                </c:pt>
                <c:pt idx="113">
                  <c:v>501.18723362727349</c:v>
                </c:pt>
                <c:pt idx="114">
                  <c:v>562.34132519035018</c:v>
                </c:pt>
                <c:pt idx="115">
                  <c:v>630.95734448019414</c:v>
                </c:pt>
                <c:pt idx="116">
                  <c:v>707.94578438413851</c:v>
                </c:pt>
                <c:pt idx="117">
                  <c:v>794.32823472428333</c:v>
                </c:pt>
                <c:pt idx="118">
                  <c:v>891.25093813374713</c:v>
                </c:pt>
                <c:pt idx="119">
                  <c:v>1000</c:v>
                </c:pt>
                <c:pt idx="120">
                  <c:v>1122.0184543019643</c:v>
                </c:pt>
                <c:pt idx="121">
                  <c:v>1258.9254117941678</c:v>
                </c:pt>
                <c:pt idx="122">
                  <c:v>1412.5375446227565</c:v>
                </c:pt>
                <c:pt idx="123">
                  <c:v>1584.8931924611154</c:v>
                </c:pt>
                <c:pt idx="124">
                  <c:v>1778.2794100389242</c:v>
                </c:pt>
                <c:pt idx="125">
                  <c:v>1995.26231496888</c:v>
                </c:pt>
                <c:pt idx="126">
                  <c:v>2238.721138568339</c:v>
                </c:pt>
                <c:pt idx="127">
                  <c:v>2511.8864315095871</c:v>
                </c:pt>
                <c:pt idx="128">
                  <c:v>2818.3829312644607</c:v>
                </c:pt>
                <c:pt idx="129">
                  <c:v>3162.2776601683854</c:v>
                </c:pt>
                <c:pt idx="130">
                  <c:v>3548.1338923357594</c:v>
                </c:pt>
                <c:pt idx="131">
                  <c:v>3981.071705534976</c:v>
                </c:pt>
                <c:pt idx="132">
                  <c:v>4466.8359215096416</c:v>
                </c:pt>
                <c:pt idx="133">
                  <c:v>5011.8723362727314</c:v>
                </c:pt>
                <c:pt idx="134">
                  <c:v>5623.4132519034974</c:v>
                </c:pt>
                <c:pt idx="135">
                  <c:v>6309.5734448019375</c:v>
                </c:pt>
                <c:pt idx="136">
                  <c:v>7079.4578438413819</c:v>
                </c:pt>
                <c:pt idx="137">
                  <c:v>7943.2823472428281</c:v>
                </c:pt>
                <c:pt idx="138">
                  <c:v>8912.509381337466</c:v>
                </c:pt>
                <c:pt idx="139">
                  <c:v>10000</c:v>
                </c:pt>
              </c:numCache>
            </c:numRef>
          </c:xVal>
          <c:yVal>
            <c:numRef>
              <c:f>'NCP1623 design tool'!$AD$58:$AD$197</c:f>
              <c:numCache>
                <c:formatCode>General</c:formatCode>
                <c:ptCount val="140"/>
                <c:pt idx="0">
                  <c:v>90.019404018651201</c:v>
                </c:pt>
                <c:pt idx="1">
                  <c:v>90.021771666745494</c:v>
                </c:pt>
                <c:pt idx="2">
                  <c:v>90.02442821148972</c:v>
                </c:pt>
                <c:pt idx="3">
                  <c:v>90.027408903560769</c:v>
                </c:pt>
                <c:pt idx="4">
                  <c:v>90.030753294849887</c:v>
                </c:pt>
                <c:pt idx="5">
                  <c:v>90.034505763282155</c:v>
                </c:pt>
                <c:pt idx="6">
                  <c:v>90.038716101670929</c:v>
                </c:pt>
                <c:pt idx="7">
                  <c:v>90.043440178418479</c:v>
                </c:pt>
                <c:pt idx="8">
                  <c:v>90.04874067882804</c:v>
                </c:pt>
                <c:pt idx="9">
                  <c:v>90.054687936860518</c:v>
                </c:pt>
                <c:pt idx="10">
                  <c:v>90.061360868368155</c:v>
                </c:pt>
                <c:pt idx="11">
                  <c:v>90.068848018181768</c:v>
                </c:pt>
                <c:pt idx="12">
                  <c:v>90.077248734936475</c:v>
                </c:pt>
                <c:pt idx="13">
                  <c:v>90.086674489211887</c:v>
                </c:pt>
                <c:pt idx="14">
                  <c:v>90.097250352458687</c:v>
                </c:pt>
                <c:pt idx="15">
                  <c:v>90.109116656309766</c:v>
                </c:pt>
                <c:pt idx="16">
                  <c:v>90.122430854256379</c:v>
                </c:pt>
                <c:pt idx="17">
                  <c:v>90.137369610339618</c:v>
                </c:pt>
                <c:pt idx="18">
                  <c:v>90.154131142498258</c:v>
                </c:pt>
                <c:pt idx="19">
                  <c:v>90.172937851562111</c:v>
                </c:pt>
                <c:pt idx="20">
                  <c:v>90.194039270626703</c:v>
                </c:pt>
                <c:pt idx="21">
                  <c:v>90.217715373735246</c:v>
                </c:pt>
                <c:pt idx="22">
                  <c:v>90.244280287474211</c:v>
                </c:pt>
                <c:pt idx="23">
                  <c:v>90.274086454312823</c:v>
                </c:pt>
                <c:pt idx="24">
                  <c:v>90.307529302337869</c:v>
                </c:pt>
                <c:pt idx="25">
                  <c:v>90.345052482509345</c:v>
                </c:pt>
                <c:pt idx="26">
                  <c:v>90.387153741748037</c:v>
                </c:pt>
                <c:pt idx="27">
                  <c:v>90.43439150811426</c:v>
                </c:pt>
                <c:pt idx="28">
                  <c:v>90.48739227309666</c:v>
                </c:pt>
                <c:pt idx="29">
                  <c:v>90.54685886563307</c:v>
                </c:pt>
                <c:pt idx="30">
                  <c:v>90.613579722943555</c:v>
                </c:pt>
                <c:pt idx="31">
                  <c:v>90.68843927454121</c:v>
                </c:pt>
                <c:pt idx="32">
                  <c:v>90.772429567818392</c:v>
                </c:pt>
                <c:pt idx="33">
                  <c:v>90.86666327621343</c:v>
                </c:pt>
                <c:pt idx="34">
                  <c:v>90.972388243853928</c:v>
                </c:pt>
                <c:pt idx="35">
                  <c:v>91.091003733265097</c:v>
                </c:pt>
                <c:pt idx="36">
                  <c:v>91.22407855447986</c:v>
                </c:pt>
                <c:pt idx="37">
                  <c:v>91.373371263560941</c:v>
                </c:pt>
                <c:pt idx="38">
                  <c:v>91.540852624465813</c:v>
                </c:pt>
                <c:pt idx="39">
                  <c:v>91.728730527904091</c:v>
                </c:pt>
                <c:pt idx="40">
                  <c:v>91.939477550813109</c:v>
                </c:pt>
                <c:pt idx="41">
                  <c:v>92.17586131524935</c:v>
                </c:pt>
                <c:pt idx="42">
                  <c:v>92.440977758684625</c:v>
                </c:pt>
                <c:pt idx="43">
                  <c:v>92.738287348818915</c:v>
                </c:pt>
                <c:pt idx="44">
                  <c:v>93.071654151013959</c:v>
                </c:pt>
                <c:pt idx="45">
                  <c:v>93.445387465905881</c:v>
                </c:pt>
                <c:pt idx="46">
                  <c:v>93.864285472172241</c:v>
                </c:pt>
                <c:pt idx="47">
                  <c:v>94.33367989913333</c:v>
                </c:pt>
                <c:pt idx="48">
                  <c:v>94.859480168666195</c:v>
                </c:pt>
                <c:pt idx="49">
                  <c:v>95.448214624836311</c:v>
                </c:pt>
                <c:pt idx="50">
                  <c:v>96.107065336543258</c:v>
                </c:pt>
                <c:pt idx="51">
                  <c:v>96.843891422799459</c:v>
                </c:pt>
                <c:pt idx="52">
                  <c:v>97.667233812859507</c:v>
                </c:pt>
                <c:pt idx="53">
                  <c:v>98.586291721599025</c:v>
                </c:pt>
                <c:pt idx="54">
                  <c:v>99.61085783950621</c:v>
                </c:pt>
                <c:pt idx="55">
                  <c:v>100.75119534732181</c:v>
                </c:pt>
                <c:pt idx="56">
                  <c:v>102.01783560105416</c:v>
                </c:pt>
                <c:pt idx="57">
                  <c:v>103.42127126645646</c:v>
                </c:pt>
                <c:pt idx="58">
                  <c:v>104.9715169230177</c:v>
                </c:pt>
                <c:pt idx="59">
                  <c:v>106.67750957246753</c:v>
                </c:pt>
                <c:pt idx="60">
                  <c:v>108.54632784512066</c:v>
                </c:pt>
                <c:pt idx="61">
                  <c:v>110.58222454670029</c:v>
                </c:pt>
                <c:pt idx="62">
                  <c:v>112.78549613525733</c:v>
                </c:pt>
                <c:pt idx="63">
                  <c:v>115.15125674119543</c:v>
                </c:pt>
                <c:pt idx="64">
                  <c:v>117.66824099105374</c:v>
                </c:pt>
                <c:pt idx="65">
                  <c:v>120.31781897937572</c:v>
                </c:pt>
                <c:pt idx="66">
                  <c:v>123.07344848369976</c:v>
                </c:pt>
                <c:pt idx="67">
                  <c:v>125.90078741528268</c:v>
                </c:pt>
                <c:pt idx="68">
                  <c:v>128.75862040712568</c:v>
                </c:pt>
                <c:pt idx="69">
                  <c:v>131.60061344721066</c:v>
                </c:pt>
                <c:pt idx="70">
                  <c:v>134.3777278240469</c:v>
                </c:pt>
                <c:pt idx="71">
                  <c:v>137.04095742025083</c:v>
                </c:pt>
                <c:pt idx="72">
                  <c:v>139.5439660088758</c:v>
                </c:pt>
                <c:pt idx="73">
                  <c:v>141.84523065741141</c:v>
                </c:pt>
                <c:pt idx="74">
                  <c:v>143.90943166902136</c:v>
                </c:pt>
                <c:pt idx="75">
                  <c:v>145.70801493406191</c:v>
                </c:pt>
                <c:pt idx="76">
                  <c:v>147.21902380495752</c:v>
                </c:pt>
                <c:pt idx="77">
                  <c:v>148.42640906812846</c:v>
                </c:pt>
                <c:pt idx="78">
                  <c:v>149.31906508251555</c:v>
                </c:pt>
                <c:pt idx="79">
                  <c:v>149.88982251567833</c:v>
                </c:pt>
                <c:pt idx="80">
                  <c:v>150.13457923686514</c:v>
                </c:pt>
                <c:pt idx="81">
                  <c:v>150.05169382362371</c:v>
                </c:pt>
                <c:pt idx="82">
                  <c:v>149.64171415388981</c:v>
                </c:pt>
                <c:pt idx="83">
                  <c:v>148.90747005303299</c:v>
                </c:pt>
                <c:pt idx="84">
                  <c:v>147.85452033882203</c:v>
                </c:pt>
                <c:pt idx="85">
                  <c:v>146.49190424715357</c:v>
                </c:pt>
                <c:pt idx="86">
                  <c:v>144.83309953224705</c:v>
                </c:pt>
                <c:pt idx="87">
                  <c:v>142.89703396167636</c:v>
                </c:pt>
                <c:pt idx="88">
                  <c:v>140.70894164326944</c:v>
                </c:pt>
                <c:pt idx="89">
                  <c:v>138.30081923822348</c:v>
                </c:pt>
                <c:pt idx="90">
                  <c:v>135.71124543417875</c:v>
                </c:pt>
                <c:pt idx="91">
                  <c:v>132.98440245768248</c:v>
                </c:pt>
                <c:pt idx="92">
                  <c:v>130.16828377116212</c:v>
                </c:pt>
                <c:pt idx="93">
                  <c:v>127.31225804150468</c:v>
                </c:pt>
                <c:pt idx="94">
                  <c:v>124.46432733945855</c:v>
                </c:pt>
                <c:pt idx="95">
                  <c:v>121.66850343270391</c:v>
                </c:pt>
                <c:pt idx="96">
                  <c:v>118.96269462075463</c:v>
                </c:pt>
                <c:pt idx="97">
                  <c:v>116.37736068220596</c:v>
                </c:pt>
                <c:pt idx="98">
                  <c:v>113.93501005977991</c:v>
                </c:pt>
                <c:pt idx="99">
                  <c:v>111.65044664203272</c:v>
                </c:pt>
                <c:pt idx="100">
                  <c:v>109.53156803511894</c:v>
                </c:pt>
                <c:pt idx="101">
                  <c:v>107.58048409780235</c:v>
                </c:pt>
                <c:pt idx="102">
                  <c:v>105.79474802095332</c:v>
                </c:pt>
                <c:pt idx="103">
                  <c:v>104.16854578534655</c:v>
                </c:pt>
                <c:pt idx="104">
                  <c:v>102.69374954699991</c:v>
                </c:pt>
                <c:pt idx="105">
                  <c:v>101.36079147652821</c:v>
                </c:pt>
                <c:pt idx="106">
                  <c:v>100.1593509287184</c:v>
                </c:pt>
                <c:pt idx="107">
                  <c:v>99.078869738958431</c:v>
                </c:pt>
                <c:pt idx="108">
                  <c:v>98.108921018899039</c:v>
                </c:pt>
                <c:pt idx="109">
                  <c:v>97.239459773616332</c:v>
                </c:pt>
                <c:pt idx="110">
                  <c:v>96.460982184320315</c:v>
                </c:pt>
                <c:pt idx="111">
                  <c:v>95.764616799442891</c:v>
                </c:pt>
                <c:pt idx="112">
                  <c:v>95.142166610456357</c:v>
                </c:pt>
                <c:pt idx="113">
                  <c:v>94.586116867907393</c:v>
                </c:pt>
                <c:pt idx="114">
                  <c:v>94.089619897183226</c:v>
                </c:pt>
                <c:pt idx="115">
                  <c:v>93.646465223465938</c:v>
                </c:pt>
                <c:pt idx="116">
                  <c:v>93.251040994351456</c:v>
                </c:pt>
                <c:pt idx="117">
                  <c:v>92.898290917447667</c:v>
                </c:pt>
                <c:pt idx="118">
                  <c:v>92.583669610255825</c:v>
                </c:pt>
                <c:pt idx="119">
                  <c:v>92.303098294815243</c:v>
                </c:pt>
                <c:pt idx="120">
                  <c:v>92.052922076359707</c:v>
                </c:pt>
                <c:pt idx="121">
                  <c:v>91.829869555197121</c:v>
                </c:pt>
                <c:pt idx="122">
                  <c:v>91.631015180440102</c:v>
                </c:pt>
                <c:pt idx="123">
                  <c:v>91.453744522008691</c:v>
                </c:pt>
                <c:pt idx="124">
                  <c:v>91.295722482749269</c:v>
                </c:pt>
                <c:pt idx="125">
                  <c:v>91.154864372889577</c:v>
                </c:pt>
                <c:pt idx="126">
                  <c:v>91.029309707872017</c:v>
                </c:pt>
                <c:pt idx="127">
                  <c:v>90.917398555971261</c:v>
                </c:pt>
                <c:pt idx="128">
                  <c:v>90.81765024550991</c:v>
                </c:pt>
                <c:pt idx="129">
                  <c:v>90.728744236914807</c:v>
                </c:pt>
                <c:pt idx="130">
                  <c:v>90.649502968077044</c:v>
                </c:pt>
                <c:pt idx="131">
                  <c:v>90.578876489549543</c:v>
                </c:pt>
                <c:pt idx="132">
                  <c:v>90.515928717008904</c:v>
                </c:pt>
                <c:pt idx="133">
                  <c:v>90.459825140748819</c:v>
                </c:pt>
                <c:pt idx="134">
                  <c:v>90.409821844838788</c:v>
                </c:pt>
                <c:pt idx="135">
                  <c:v>90.365255701376768</c:v>
                </c:pt>
                <c:pt idx="136">
                  <c:v>90.325535617608068</c:v>
                </c:pt>
                <c:pt idx="137">
                  <c:v>90.290134725353084</c:v>
                </c:pt>
                <c:pt idx="138">
                  <c:v>90.258583413058275</c:v>
                </c:pt>
                <c:pt idx="139">
                  <c:v>90.23046311081265</c:v>
                </c:pt>
              </c:numCache>
            </c:numRef>
          </c:yVal>
          <c:smooth val="0"/>
          <c:extLst>
            <c:ext xmlns:c16="http://schemas.microsoft.com/office/drawing/2014/chart" uri="{C3380CC4-5D6E-409C-BE32-E72D297353CC}">
              <c16:uniqueId val="{00000001-C163-4D77-B5E3-675FB533927A}"/>
            </c:ext>
          </c:extLst>
        </c:ser>
        <c:ser>
          <c:idx val="2"/>
          <c:order val="2"/>
          <c:tx>
            <c:strRef>
              <c:f>'NCP1623 design tool'!$AF$57</c:f>
              <c:strCache>
                <c:ptCount val="1"/>
                <c:pt idx="0">
                  <c:v>closed loop</c:v>
                </c:pt>
              </c:strCache>
            </c:strRef>
          </c:tx>
          <c:spPr>
            <a:ln w="19050" cap="rnd">
              <a:solidFill>
                <a:schemeClr val="accent3"/>
              </a:solidFill>
              <a:round/>
            </a:ln>
            <a:effectLst/>
          </c:spPr>
          <c:marker>
            <c:symbol val="none"/>
          </c:marker>
          <c:xVal>
            <c:numRef>
              <c:f>'NCP1623 design tool'!$Z$58:$Z$197</c:f>
              <c:numCache>
                <c:formatCode>General</c:formatCode>
                <c:ptCount val="140"/>
                <c:pt idx="0">
                  <c:v>1.1220184543019637E-3</c:v>
                </c:pt>
                <c:pt idx="1">
                  <c:v>1.2589254117941673E-3</c:v>
                </c:pt>
                <c:pt idx="2">
                  <c:v>1.4125375446227544E-3</c:v>
                </c:pt>
                <c:pt idx="3">
                  <c:v>1.5848931924611136E-3</c:v>
                </c:pt>
                <c:pt idx="4">
                  <c:v>1.778279410038923E-3</c:v>
                </c:pt>
                <c:pt idx="5">
                  <c:v>1.9952623149688798E-3</c:v>
                </c:pt>
                <c:pt idx="6">
                  <c:v>2.2387211385683395E-3</c:v>
                </c:pt>
                <c:pt idx="7">
                  <c:v>2.5118864315095807E-3</c:v>
                </c:pt>
                <c:pt idx="8">
                  <c:v>2.8183829312644544E-3</c:v>
                </c:pt>
                <c:pt idx="9">
                  <c:v>3.1622776601683794E-3</c:v>
                </c:pt>
                <c:pt idx="10">
                  <c:v>3.5481338923357554E-3</c:v>
                </c:pt>
                <c:pt idx="11">
                  <c:v>3.9810717055349725E-3</c:v>
                </c:pt>
                <c:pt idx="12">
                  <c:v>4.4668359215096322E-3</c:v>
                </c:pt>
                <c:pt idx="13">
                  <c:v>5.0118723362727229E-3</c:v>
                </c:pt>
                <c:pt idx="14">
                  <c:v>5.6234132519034918E-3</c:v>
                </c:pt>
                <c:pt idx="15">
                  <c:v>6.3095734448019346E-3</c:v>
                </c:pt>
                <c:pt idx="16">
                  <c:v>7.0794578438413795E-3</c:v>
                </c:pt>
                <c:pt idx="17">
                  <c:v>7.9432823472428173E-3</c:v>
                </c:pt>
                <c:pt idx="18">
                  <c:v>8.9125093813374572E-3</c:v>
                </c:pt>
                <c:pt idx="19">
                  <c:v>0.01</c:v>
                </c:pt>
                <c:pt idx="20">
                  <c:v>1.1220184543019636E-2</c:v>
                </c:pt>
                <c:pt idx="21">
                  <c:v>1.258925411794168E-2</c:v>
                </c:pt>
                <c:pt idx="22">
                  <c:v>1.4125375446227544E-2</c:v>
                </c:pt>
                <c:pt idx="23">
                  <c:v>1.5848931924611138E-2</c:v>
                </c:pt>
                <c:pt idx="24">
                  <c:v>1.7782794100389236E-2</c:v>
                </c:pt>
                <c:pt idx="25">
                  <c:v>1.9952623149688806E-2</c:v>
                </c:pt>
                <c:pt idx="26">
                  <c:v>2.2387211385683406E-2</c:v>
                </c:pt>
                <c:pt idx="27">
                  <c:v>2.5118864315095798E-2</c:v>
                </c:pt>
                <c:pt idx="28">
                  <c:v>2.818382931264455E-2</c:v>
                </c:pt>
                <c:pt idx="29">
                  <c:v>3.1622776601683805E-2</c:v>
                </c:pt>
                <c:pt idx="30">
                  <c:v>3.5481338923357558E-2</c:v>
                </c:pt>
                <c:pt idx="31">
                  <c:v>3.9810717055349755E-2</c:v>
                </c:pt>
                <c:pt idx="32">
                  <c:v>4.4668359215096327E-2</c:v>
                </c:pt>
                <c:pt idx="33">
                  <c:v>5.0118723362727241E-2</c:v>
                </c:pt>
                <c:pt idx="34">
                  <c:v>5.6234132519034918E-2</c:v>
                </c:pt>
                <c:pt idx="35">
                  <c:v>6.3095734448019372E-2</c:v>
                </c:pt>
                <c:pt idx="36">
                  <c:v>7.0794578438413872E-2</c:v>
                </c:pt>
                <c:pt idx="37">
                  <c:v>7.9432823472428193E-2</c:v>
                </c:pt>
                <c:pt idx="38">
                  <c:v>8.9125093813374565E-2</c:v>
                </c:pt>
                <c:pt idx="39">
                  <c:v>0.1</c:v>
                </c:pt>
                <c:pt idx="40">
                  <c:v>0.11220184543019635</c:v>
                </c:pt>
                <c:pt idx="41">
                  <c:v>0.12589254117941678</c:v>
                </c:pt>
                <c:pt idx="42">
                  <c:v>0.14125375446227542</c:v>
                </c:pt>
                <c:pt idx="43">
                  <c:v>0.15848931924611154</c:v>
                </c:pt>
                <c:pt idx="44">
                  <c:v>0.17782794100389243</c:v>
                </c:pt>
                <c:pt idx="45">
                  <c:v>0.19952623149688803</c:v>
                </c:pt>
                <c:pt idx="46">
                  <c:v>0.22387211385683412</c:v>
                </c:pt>
                <c:pt idx="47">
                  <c:v>0.25118864315095807</c:v>
                </c:pt>
                <c:pt idx="48">
                  <c:v>0.28183829312644554</c:v>
                </c:pt>
                <c:pt idx="49">
                  <c:v>0.31622776601683827</c:v>
                </c:pt>
                <c:pt idx="50">
                  <c:v>0.35481338923357569</c:v>
                </c:pt>
                <c:pt idx="51">
                  <c:v>0.39810717055349759</c:v>
                </c:pt>
                <c:pt idx="52">
                  <c:v>0.44668359215096332</c:v>
                </c:pt>
                <c:pt idx="53">
                  <c:v>0.50118723362727269</c:v>
                </c:pt>
                <c:pt idx="54">
                  <c:v>0.56234132519034929</c:v>
                </c:pt>
                <c:pt idx="55">
                  <c:v>0.63095734448019325</c:v>
                </c:pt>
                <c:pt idx="56">
                  <c:v>0.7079457843841388</c:v>
                </c:pt>
                <c:pt idx="57">
                  <c:v>0.79432823472428205</c:v>
                </c:pt>
                <c:pt idx="58">
                  <c:v>0.89125093813374656</c:v>
                </c:pt>
                <c:pt idx="59">
                  <c:v>1</c:v>
                </c:pt>
                <c:pt idx="60">
                  <c:v>1.1220184543019636</c:v>
                </c:pt>
                <c:pt idx="61">
                  <c:v>1.2589254117941679</c:v>
                </c:pt>
                <c:pt idx="62">
                  <c:v>1.4125375446227546</c:v>
                </c:pt>
                <c:pt idx="63">
                  <c:v>1.5848931924611156</c:v>
                </c:pt>
                <c:pt idx="64">
                  <c:v>1.7782794100389245</c:v>
                </c:pt>
                <c:pt idx="65">
                  <c:v>1.9952623149688804</c:v>
                </c:pt>
                <c:pt idx="66">
                  <c:v>2.2387211385683417</c:v>
                </c:pt>
                <c:pt idx="67">
                  <c:v>2.511886431509581</c:v>
                </c:pt>
                <c:pt idx="68">
                  <c:v>2.8183829312644564</c:v>
                </c:pt>
                <c:pt idx="69">
                  <c:v>3.1622776601683804</c:v>
                </c:pt>
                <c:pt idx="70">
                  <c:v>3.5481338923357542</c:v>
                </c:pt>
                <c:pt idx="71">
                  <c:v>3.9810717055349771</c:v>
                </c:pt>
                <c:pt idx="72">
                  <c:v>4.4668359215096345</c:v>
                </c:pt>
                <c:pt idx="73">
                  <c:v>5.0118723362727327</c:v>
                </c:pt>
                <c:pt idx="74">
                  <c:v>5.6234132519034992</c:v>
                </c:pt>
                <c:pt idx="75">
                  <c:v>6.3095734448019387</c:v>
                </c:pt>
                <c:pt idx="76">
                  <c:v>7.0794578438413831</c:v>
                </c:pt>
                <c:pt idx="77">
                  <c:v>7.9432823472428158</c:v>
                </c:pt>
                <c:pt idx="78">
                  <c:v>8.9125093813374683</c:v>
                </c:pt>
                <c:pt idx="79">
                  <c:v>10</c:v>
                </c:pt>
                <c:pt idx="80">
                  <c:v>11.22018454301964</c:v>
                </c:pt>
                <c:pt idx="81">
                  <c:v>12.589254117941671</c:v>
                </c:pt>
                <c:pt idx="82">
                  <c:v>14.125375446227562</c:v>
                </c:pt>
                <c:pt idx="83">
                  <c:v>15.848931924611147</c:v>
                </c:pt>
                <c:pt idx="84">
                  <c:v>17.782794100389236</c:v>
                </c:pt>
                <c:pt idx="85">
                  <c:v>19.952623149688794</c:v>
                </c:pt>
                <c:pt idx="86">
                  <c:v>22.387211385683383</c:v>
                </c:pt>
                <c:pt idx="87">
                  <c:v>25.118864315095859</c:v>
                </c:pt>
                <c:pt idx="88">
                  <c:v>28.183829312644594</c:v>
                </c:pt>
                <c:pt idx="89">
                  <c:v>31.622776601683839</c:v>
                </c:pt>
                <c:pt idx="90">
                  <c:v>35.481338923357583</c:v>
                </c:pt>
                <c:pt idx="91">
                  <c:v>39.810717055349741</c:v>
                </c:pt>
                <c:pt idx="92">
                  <c:v>44.668359215096388</c:v>
                </c:pt>
                <c:pt idx="93">
                  <c:v>50.118723362727295</c:v>
                </c:pt>
                <c:pt idx="94">
                  <c:v>56.234132519034951</c:v>
                </c:pt>
                <c:pt idx="95">
                  <c:v>63.095734448019343</c:v>
                </c:pt>
                <c:pt idx="96">
                  <c:v>70.79457843841378</c:v>
                </c:pt>
                <c:pt idx="97">
                  <c:v>79.43282347242824</c:v>
                </c:pt>
                <c:pt idx="98">
                  <c:v>89.125093813374605</c:v>
                </c:pt>
                <c:pt idx="99">
                  <c:v>100</c:v>
                </c:pt>
                <c:pt idx="100">
                  <c:v>112.20184543019651</c:v>
                </c:pt>
                <c:pt idx="101">
                  <c:v>125.89254117941685</c:v>
                </c:pt>
                <c:pt idx="102">
                  <c:v>141.25375446227577</c:v>
                </c:pt>
                <c:pt idx="103">
                  <c:v>158.48931924611165</c:v>
                </c:pt>
                <c:pt idx="104">
                  <c:v>177.82794100389251</c:v>
                </c:pt>
                <c:pt idx="105">
                  <c:v>199.52623149688813</c:v>
                </c:pt>
                <c:pt idx="106">
                  <c:v>223.87211385683403</c:v>
                </c:pt>
                <c:pt idx="107">
                  <c:v>251.18864315095846</c:v>
                </c:pt>
                <c:pt idx="108">
                  <c:v>281.83829312644576</c:v>
                </c:pt>
                <c:pt idx="109">
                  <c:v>316.22776601683819</c:v>
                </c:pt>
                <c:pt idx="110">
                  <c:v>354.81338923357555</c:v>
                </c:pt>
                <c:pt idx="111">
                  <c:v>398.10717055349716</c:v>
                </c:pt>
                <c:pt idx="112">
                  <c:v>446.68359215096444</c:v>
                </c:pt>
                <c:pt idx="113">
                  <c:v>501.18723362727349</c:v>
                </c:pt>
                <c:pt idx="114">
                  <c:v>562.34132519035018</c:v>
                </c:pt>
                <c:pt idx="115">
                  <c:v>630.95734448019414</c:v>
                </c:pt>
                <c:pt idx="116">
                  <c:v>707.94578438413851</c:v>
                </c:pt>
                <c:pt idx="117">
                  <c:v>794.32823472428333</c:v>
                </c:pt>
                <c:pt idx="118">
                  <c:v>891.25093813374713</c:v>
                </c:pt>
                <c:pt idx="119">
                  <c:v>1000</c:v>
                </c:pt>
                <c:pt idx="120">
                  <c:v>1122.0184543019643</c:v>
                </c:pt>
                <c:pt idx="121">
                  <c:v>1258.9254117941678</c:v>
                </c:pt>
                <c:pt idx="122">
                  <c:v>1412.5375446227565</c:v>
                </c:pt>
                <c:pt idx="123">
                  <c:v>1584.8931924611154</c:v>
                </c:pt>
                <c:pt idx="124">
                  <c:v>1778.2794100389242</c:v>
                </c:pt>
                <c:pt idx="125">
                  <c:v>1995.26231496888</c:v>
                </c:pt>
                <c:pt idx="126">
                  <c:v>2238.721138568339</c:v>
                </c:pt>
                <c:pt idx="127">
                  <c:v>2511.8864315095871</c:v>
                </c:pt>
                <c:pt idx="128">
                  <c:v>2818.3829312644607</c:v>
                </c:pt>
                <c:pt idx="129">
                  <c:v>3162.2776601683854</c:v>
                </c:pt>
                <c:pt idx="130">
                  <c:v>3548.1338923357594</c:v>
                </c:pt>
                <c:pt idx="131">
                  <c:v>3981.071705534976</c:v>
                </c:pt>
                <c:pt idx="132">
                  <c:v>4466.8359215096416</c:v>
                </c:pt>
                <c:pt idx="133">
                  <c:v>5011.8723362727314</c:v>
                </c:pt>
                <c:pt idx="134">
                  <c:v>5623.4132519034974</c:v>
                </c:pt>
                <c:pt idx="135">
                  <c:v>6309.5734448019375</c:v>
                </c:pt>
                <c:pt idx="136">
                  <c:v>7079.4578438413819</c:v>
                </c:pt>
                <c:pt idx="137">
                  <c:v>7943.2823472428281</c:v>
                </c:pt>
                <c:pt idx="138">
                  <c:v>8912.509381337466</c:v>
                </c:pt>
                <c:pt idx="139">
                  <c:v>10000</c:v>
                </c:pt>
              </c:numCache>
            </c:numRef>
          </c:xVal>
          <c:yVal>
            <c:numRef>
              <c:f>'NCP1623 design tool'!$AF$58:$AF$197</c:f>
              <c:numCache>
                <c:formatCode>General</c:formatCode>
                <c:ptCount val="140"/>
                <c:pt idx="0">
                  <c:v>89.998515357132206</c:v>
                </c:pt>
                <c:pt idx="1">
                  <c:v>89.998334203304381</c:v>
                </c:pt>
                <c:pt idx="2">
                  <c:v>89.99813094536654</c:v>
                </c:pt>
                <c:pt idx="3">
                  <c:v>89.997902886209346</c:v>
                </c:pt>
                <c:pt idx="4">
                  <c:v>89.997646999626397</c:v>
                </c:pt>
                <c:pt idx="5">
                  <c:v>89.997359890158222</c:v>
                </c:pt>
                <c:pt idx="6">
                  <c:v>89.997037748036675</c:v>
                </c:pt>
                <c:pt idx="7">
                  <c:v>89.996676298631627</c:v>
                </c:pt>
                <c:pt idx="8">
                  <c:v>89.996270745729177</c:v>
                </c:pt>
                <c:pt idx="9">
                  <c:v>89.99581570788888</c:v>
                </c:pt>
                <c:pt idx="10">
                  <c:v>89.995305147035296</c:v>
                </c:pt>
                <c:pt idx="11">
                  <c:v>89.994732288336422</c:v>
                </c:pt>
                <c:pt idx="12">
                  <c:v>89.994089530305843</c:v>
                </c:pt>
                <c:pt idx="13">
                  <c:v>89.993368343935643</c:v>
                </c:pt>
                <c:pt idx="14">
                  <c:v>89.992559159521818</c:v>
                </c:pt>
                <c:pt idx="15">
                  <c:v>89.99165123968011</c:v>
                </c:pt>
                <c:pt idx="16">
                  <c:v>89.990632536867707</c:v>
                </c:pt>
                <c:pt idx="17">
                  <c:v>89.98948953351983</c:v>
                </c:pt>
                <c:pt idx="18">
                  <c:v>89.988207062680175</c:v>
                </c:pt>
                <c:pt idx="19">
                  <c:v>89.986768106745117</c:v>
                </c:pt>
                <c:pt idx="20">
                  <c:v>89.985153571650997</c:v>
                </c:pt>
                <c:pt idx="21">
                  <c:v>89.983342033508478</c:v>
                </c:pt>
                <c:pt idx="22">
                  <c:v>89.981309454321732</c:v>
                </c:pt>
                <c:pt idx="23">
                  <c:v>89.979028863020616</c:v>
                </c:pt>
                <c:pt idx="24">
                  <c:v>89.976469997573503</c:v>
                </c:pt>
                <c:pt idx="25">
                  <c:v>89.973598903432006</c:v>
                </c:pt>
                <c:pt idx="26">
                  <c:v>89.970377482979742</c:v>
                </c:pt>
                <c:pt idx="27">
                  <c:v>89.966762990007183</c:v>
                </c:pt>
                <c:pt idx="28">
                  <c:v>89.96270746250535</c:v>
                </c:pt>
                <c:pt idx="29">
                  <c:v>89.958157086253195</c:v>
                </c:pt>
                <c:pt idx="30">
                  <c:v>89.95305148075542</c:v>
                </c:pt>
                <c:pt idx="31">
                  <c:v>89.947322898058047</c:v>
                </c:pt>
                <c:pt idx="32">
                  <c:v>89.940895323813933</c:v>
                </c:pt>
                <c:pt idx="33">
                  <c:v>89.933683468674488</c:v>
                </c:pt>
                <c:pt idx="34">
                  <c:v>89.925591636630941</c:v>
                </c:pt>
                <c:pt idx="35">
                  <c:v>89.916512455298218</c:v>
                </c:pt>
                <c:pt idx="36">
                  <c:v>89.906325451306401</c:v>
                </c:pt>
                <c:pt idx="37">
                  <c:v>89.894895451915175</c:v>
                </c:pt>
                <c:pt idx="38">
                  <c:v>89.882070791668681</c:v>
                </c:pt>
                <c:pt idx="39">
                  <c:v>89.867681300331682</c:v>
                </c:pt>
                <c:pt idx="40">
                  <c:v>89.851536045462282</c:v>
                </c:pt>
                <c:pt idx="41">
                  <c:v>89.833420799741788</c:v>
                </c:pt>
                <c:pt idx="42">
                  <c:v>89.813095199561829</c:v>
                </c:pt>
                <c:pt idx="43">
                  <c:v>89.790289557315887</c:v>
                </c:pt>
                <c:pt idx="44">
                  <c:v>89.76470128530957</c:v>
                </c:pt>
                <c:pt idx="45">
                  <c:v>89.735990884138346</c:v>
                </c:pt>
                <c:pt idx="46">
                  <c:v>89.703777442726533</c:v>
                </c:pt>
                <c:pt idx="47">
                  <c:v>89.667633590916822</c:v>
                </c:pt>
                <c:pt idx="48">
                  <c:v>89.627079838483141</c:v>
                </c:pt>
                <c:pt idx="49">
                  <c:v>89.581578226648077</c:v>
                </c:pt>
                <c:pt idx="50">
                  <c:v>89.530525209557609</c:v>
                </c:pt>
                <c:pt idx="51">
                  <c:v>89.473243673646166</c:v>
                </c:pt>
                <c:pt idx="52">
                  <c:v>89.408973992370989</c:v>
                </c:pt>
                <c:pt idx="53">
                  <c:v>89.336864002386775</c:v>
                </c:pt>
                <c:pt idx="54">
                  <c:v>89.255957774883939</c:v>
                </c:pt>
                <c:pt idx="55">
                  <c:v>89.165183042600773</c:v>
                </c:pt>
                <c:pt idx="56">
                  <c:v>89.063337129094236</c:v>
                </c:pt>
                <c:pt idx="57">
                  <c:v>88.949071212503171</c:v>
                </c:pt>
                <c:pt idx="58">
                  <c:v>88.820872741726291</c:v>
                </c:pt>
                <c:pt idx="59">
                  <c:v>88.677045809403637</c:v>
                </c:pt>
                <c:pt idx="60">
                  <c:v>88.515689274456378</c:v>
                </c:pt>
                <c:pt idx="61">
                  <c:v>88.334672418878029</c:v>
                </c:pt>
                <c:pt idx="62">
                  <c:v>88.131607921433499</c:v>
                </c:pt>
                <c:pt idx="63">
                  <c:v>87.903821938461348</c:v>
                </c:pt>
                <c:pt idx="64">
                  <c:v>87.64832110417575</c:v>
                </c:pt>
                <c:pt idx="65">
                  <c:v>87.361756306949616</c:v>
                </c:pt>
                <c:pt idx="66">
                  <c:v>87.040383174190339</c:v>
                </c:pt>
                <c:pt idx="67">
                  <c:v>86.680019320763151</c:v>
                </c:pt>
                <c:pt idx="68">
                  <c:v>86.275998604045441</c:v>
                </c:pt>
                <c:pt idx="69">
                  <c:v>85.823122909324098</c:v>
                </c:pt>
                <c:pt idx="70">
                  <c:v>85.315612398349487</c:v>
                </c:pt>
                <c:pt idx="71">
                  <c:v>84.747055739001951</c:v>
                </c:pt>
                <c:pt idx="72">
                  <c:v>84.110362656611997</c:v>
                </c:pt>
                <c:pt idx="73">
                  <c:v>83.397722284138013</c:v>
                </c:pt>
                <c:pt idx="74">
                  <c:v>82.600572330044116</c:v>
                </c:pt>
                <c:pt idx="75">
                  <c:v>81.709586128554008</c:v>
                </c:pt>
                <c:pt idx="76">
                  <c:v>80.714687278996706</c:v>
                </c:pt>
                <c:pt idx="77">
                  <c:v>79.60510487188678</c:v>
                </c:pt>
                <c:pt idx="78">
                  <c:v>78.369486193619196</c:v>
                </c:pt>
                <c:pt idx="79">
                  <c:v>76.99608805717719</c:v>
                </c:pt>
                <c:pt idx="80">
                  <c:v>75.473071935826454</c:v>
                </c:pt>
                <c:pt idx="81">
                  <c:v>73.788930748619038</c:v>
                </c:pt>
                <c:pt idx="82">
                  <c:v>71.93307456568651</c:v>
                </c:pt>
                <c:pt idx="83">
                  <c:v>69.89659586846922</c:v>
                </c:pt>
                <c:pt idx="84">
                  <c:v>67.673218750868429</c:v>
                </c:pt>
                <c:pt idx="85">
                  <c:v>65.260406999024866</c:v>
                </c:pt>
                <c:pt idx="86">
                  <c:v>62.660561464357528</c:v>
                </c:pt>
                <c:pt idx="87">
                  <c:v>59.882180215162464</c:v>
                </c:pt>
                <c:pt idx="88">
                  <c:v>56.940796126157537</c:v>
                </c:pt>
                <c:pt idx="89">
                  <c:v>53.859465936703486</c:v>
                </c:pt>
                <c:pt idx="90">
                  <c:v>50.668589007412052</c:v>
                </c:pt>
                <c:pt idx="91">
                  <c:v>47.404905806348211</c:v>
                </c:pt>
                <c:pt idx="92">
                  <c:v>44.10966856121054</c:v>
                </c:pt>
                <c:pt idx="93">
                  <c:v>40.826160125402524</c:v>
                </c:pt>
                <c:pt idx="94">
                  <c:v>37.596903199655927</c:v>
                </c:pt>
                <c:pt idx="95">
                  <c:v>34.460986629777253</c:v>
                </c:pt>
                <c:pt idx="96">
                  <c:v>31.451903119116054</c:v>
                </c:pt>
                <c:pt idx="97">
                  <c:v>28.596157122813509</c:v>
                </c:pt>
                <c:pt idx="98">
                  <c:v>25.912717756476681</c:v>
                </c:pt>
                <c:pt idx="99">
                  <c:v>23.413224446370535</c:v>
                </c:pt>
                <c:pt idx="100">
                  <c:v>21.102747352765959</c:v>
                </c:pt>
                <c:pt idx="101">
                  <c:v>18.980871325864697</c:v>
                </c:pt>
                <c:pt idx="102">
                  <c:v>17.042895564871117</c:v>
                </c:pt>
                <c:pt idx="103">
                  <c:v>15.280994644922927</c:v>
                </c:pt>
                <c:pt idx="104">
                  <c:v>13.68524626006554</c:v>
                </c:pt>
                <c:pt idx="105">
                  <c:v>12.244481993655882</c:v>
                </c:pt>
                <c:pt idx="106">
                  <c:v>10.946953775143982</c:v>
                </c:pt>
                <c:pt idx="107">
                  <c:v>9.7808306080577267</c:v>
                </c:pt>
                <c:pt idx="108">
                  <c:v>8.734550739882053</c:v>
                </c:pt>
                <c:pt idx="109">
                  <c:v>7.7970574071777321</c:v>
                </c:pt>
                <c:pt idx="110">
                  <c:v>6.9579448251012934</c:v>
                </c:pt>
                <c:pt idx="111">
                  <c:v>6.2075375036812233</c:v>
                </c:pt>
                <c:pt idx="112">
                  <c:v>5.5369217209035213</c:v>
                </c:pt>
                <c:pt idx="113">
                  <c:v>4.9379438753853293</c:v>
                </c:pt>
                <c:pt idx="114">
                  <c:v>4.4031868582359976</c:v>
                </c:pt>
                <c:pt idx="115">
                  <c:v>3.9259326455215273</c:v>
                </c:pt>
                <c:pt idx="116">
                  <c:v>3.5001170026933863</c:v>
                </c:pt>
                <c:pt idx="117">
                  <c:v>3.1202804311585055</c:v>
                </c:pt>
                <c:pt idx="118">
                  <c:v>2.7815181762192509</c:v>
                </c:pt>
                <c:pt idx="119">
                  <c:v>2.4794311589858609</c:v>
                </c:pt>
                <c:pt idx="120">
                  <c:v>2.2100790090243123</c:v>
                </c:pt>
                <c:pt idx="121">
                  <c:v>1.9699358911137921</c:v>
                </c:pt>
                <c:pt idx="122">
                  <c:v>1.755849484872499</c:v>
                </c:pt>
                <c:pt idx="123">
                  <c:v>1.56500324915379</c:v>
                </c:pt>
                <c:pt idx="124">
                  <c:v>1.3948819533265464</c:v>
                </c:pt>
                <c:pt idx="125">
                  <c:v>1.2432403622136547</c:v>
                </c:pt>
                <c:pt idx="126">
                  <c:v>1.1080749041128684</c:v>
                </c:pt>
                <c:pt idx="127">
                  <c:v>0.98759812010838743</c:v>
                </c:pt>
                <c:pt idx="128">
                  <c:v>0.88021567934261213</c:v>
                </c:pt>
                <c:pt idx="129">
                  <c:v>0.78450574307132115</c:v>
                </c:pt>
                <c:pt idx="130">
                  <c:v>0.69920046597788144</c:v>
                </c:pt>
                <c:pt idx="131">
                  <c:v>0.62316943346117171</c:v>
                </c:pt>
                <c:pt idx="132">
                  <c:v>0.5554048464402257</c:v>
                </c:pt>
                <c:pt idx="133">
                  <c:v>0.49500827928339675</c:v>
                </c:pt>
                <c:pt idx="134">
                  <c:v>0.44117885087483444</c:v>
                </c:pt>
                <c:pt idx="135">
                  <c:v>0.39320266299731088</c:v>
                </c:pt>
                <c:pt idx="136">
                  <c:v>0.35044337377664192</c:v>
                </c:pt>
                <c:pt idx="137">
                  <c:v>0.31233378669274714</c:v>
                </c:pt>
                <c:pt idx="138">
                  <c:v>0.27836834750654305</c:v>
                </c:pt>
                <c:pt idx="139">
                  <c:v>0.24809645234473976</c:v>
                </c:pt>
              </c:numCache>
            </c:numRef>
          </c:yVal>
          <c:smooth val="0"/>
          <c:extLst>
            <c:ext xmlns:c16="http://schemas.microsoft.com/office/drawing/2014/chart" uri="{C3380CC4-5D6E-409C-BE32-E72D297353CC}">
              <c16:uniqueId val="{00000002-C163-4D77-B5E3-675FB533927A}"/>
            </c:ext>
          </c:extLst>
        </c:ser>
        <c:dLbls>
          <c:showLegendKey val="0"/>
          <c:showVal val="0"/>
          <c:showCatName val="0"/>
          <c:showSerName val="0"/>
          <c:showPercent val="0"/>
          <c:showBubbleSize val="0"/>
        </c:dLbls>
        <c:axId val="2079424640"/>
        <c:axId val="2079450848"/>
      </c:scatterChart>
      <c:valAx>
        <c:axId val="2079424640"/>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ko-KR"/>
                  <a:t>Frequency [Hz]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ko-K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2079450848"/>
        <c:crosses val="autoZero"/>
        <c:crossBetween val="midCat"/>
      </c:valAx>
      <c:valAx>
        <c:axId val="2079450848"/>
        <c:scaling>
          <c:orientation val="minMax"/>
          <c:max val="180"/>
          <c:min val="-1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2079424640"/>
        <c:crossesAt val="1.0000000000000002E-3"/>
        <c:crossBetween val="midCat"/>
        <c:majorUnit val="45"/>
      </c:valAx>
      <c:spPr>
        <a:noFill/>
        <a:ln>
          <a:noFill/>
        </a:ln>
        <a:effectLst/>
      </c:spPr>
    </c:plotArea>
    <c:legend>
      <c:legendPos val="b"/>
      <c:layout>
        <c:manualLayout>
          <c:xMode val="edge"/>
          <c:yMode val="edge"/>
          <c:x val="8.1383950427635687E-2"/>
          <c:y val="0.9028969368288674"/>
          <c:w val="0.85407450221526227"/>
          <c:h val="7.49081971407420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accent5">
          <a:lumMod val="50000"/>
        </a:schemeClr>
      </a:solidFill>
      <a:round/>
    </a:ln>
    <a:effectLst/>
  </c:spPr>
  <c:txPr>
    <a:bodyPr/>
    <a:lstStyle/>
    <a:p>
      <a:pPr>
        <a:defRPr/>
      </a:pPr>
      <a:endParaRPr lang="ko-K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2501025277392"/>
          <c:y val="4.1088389596242059E-2"/>
          <c:w val="0.76394970047879274"/>
          <c:h val="0.76405559903550213"/>
        </c:manualLayout>
      </c:layout>
      <c:scatterChart>
        <c:scatterStyle val="smoothMarker"/>
        <c:varyColors val="0"/>
        <c:ser>
          <c:idx val="1"/>
          <c:order val="1"/>
          <c:tx>
            <c:strRef>
              <c:f>'NCP1623 design tool'!$AM$57</c:f>
              <c:strCache>
                <c:ptCount val="1"/>
                <c:pt idx="0">
                  <c:v>fsw.load1</c:v>
                </c:pt>
              </c:strCache>
            </c:strRef>
          </c:tx>
          <c:spPr>
            <a:ln w="19050" cap="rnd">
              <a:solidFill>
                <a:schemeClr val="accent2"/>
              </a:solidFill>
              <a:round/>
            </a:ln>
            <a:effectLst/>
          </c:spPr>
          <c:marker>
            <c:symbol val="none"/>
          </c:marker>
          <c:xVal>
            <c:numRef>
              <c:f>'NCP1623 design tool'!$AI$58:$AI$157</c:f>
              <c:numCache>
                <c:formatCode>General</c:formatCode>
                <c:ptCount val="100"/>
                <c:pt idx="0">
                  <c:v>1E-4</c:v>
                </c:pt>
                <c:pt idx="1">
                  <c:v>2.0000000000000001E-4</c:v>
                </c:pt>
                <c:pt idx="2">
                  <c:v>2.9999999999999997E-4</c:v>
                </c:pt>
                <c:pt idx="3">
                  <c:v>4.0000000000000002E-4</c:v>
                </c:pt>
                <c:pt idx="4">
                  <c:v>5.0000000000000001E-4</c:v>
                </c:pt>
                <c:pt idx="5">
                  <c:v>5.9999999999999995E-4</c:v>
                </c:pt>
                <c:pt idx="6">
                  <c:v>7.000000000000001E-4</c:v>
                </c:pt>
                <c:pt idx="7">
                  <c:v>8.0000000000000004E-4</c:v>
                </c:pt>
                <c:pt idx="8">
                  <c:v>8.9999999999999998E-4</c:v>
                </c:pt>
                <c:pt idx="9">
                  <c:v>1E-3</c:v>
                </c:pt>
                <c:pt idx="10">
                  <c:v>1.1000000000000001E-3</c:v>
                </c:pt>
                <c:pt idx="11">
                  <c:v>1.1999999999999999E-3</c:v>
                </c:pt>
                <c:pt idx="12">
                  <c:v>1.2999999999999999E-3</c:v>
                </c:pt>
                <c:pt idx="13">
                  <c:v>1.4000000000000002E-3</c:v>
                </c:pt>
                <c:pt idx="14">
                  <c:v>1.5E-3</c:v>
                </c:pt>
                <c:pt idx="15">
                  <c:v>1.6000000000000001E-3</c:v>
                </c:pt>
                <c:pt idx="16">
                  <c:v>1.7000000000000001E-3</c:v>
                </c:pt>
                <c:pt idx="17">
                  <c:v>1.8E-3</c:v>
                </c:pt>
                <c:pt idx="18">
                  <c:v>1.9E-3</c:v>
                </c:pt>
                <c:pt idx="19">
                  <c:v>2E-3</c:v>
                </c:pt>
                <c:pt idx="20">
                  <c:v>2.0999999999999999E-3</c:v>
                </c:pt>
                <c:pt idx="21">
                  <c:v>2.2000000000000001E-3</c:v>
                </c:pt>
                <c:pt idx="22">
                  <c:v>2.3E-3</c:v>
                </c:pt>
                <c:pt idx="23">
                  <c:v>2.3999999999999998E-3</c:v>
                </c:pt>
                <c:pt idx="24">
                  <c:v>2.5000000000000001E-3</c:v>
                </c:pt>
                <c:pt idx="25">
                  <c:v>2.5999999999999999E-3</c:v>
                </c:pt>
                <c:pt idx="26">
                  <c:v>2.7000000000000001E-3</c:v>
                </c:pt>
                <c:pt idx="27">
                  <c:v>2.8000000000000004E-3</c:v>
                </c:pt>
                <c:pt idx="28">
                  <c:v>2.8999999999999998E-3</c:v>
                </c:pt>
                <c:pt idx="29">
                  <c:v>3.0000000000000001E-3</c:v>
                </c:pt>
                <c:pt idx="30">
                  <c:v>3.0999999999999999E-3</c:v>
                </c:pt>
                <c:pt idx="31">
                  <c:v>3.2000000000000002E-3</c:v>
                </c:pt>
                <c:pt idx="32">
                  <c:v>3.3E-3</c:v>
                </c:pt>
                <c:pt idx="33">
                  <c:v>3.4000000000000002E-3</c:v>
                </c:pt>
                <c:pt idx="34">
                  <c:v>3.4999999999999996E-3</c:v>
                </c:pt>
                <c:pt idx="35">
                  <c:v>3.5999999999999999E-3</c:v>
                </c:pt>
                <c:pt idx="36">
                  <c:v>3.7000000000000002E-3</c:v>
                </c:pt>
                <c:pt idx="37">
                  <c:v>3.8E-3</c:v>
                </c:pt>
                <c:pt idx="38">
                  <c:v>3.9000000000000003E-3</c:v>
                </c:pt>
                <c:pt idx="39">
                  <c:v>4.0000000000000001E-3</c:v>
                </c:pt>
                <c:pt idx="40">
                  <c:v>4.0999999999999995E-3</c:v>
                </c:pt>
                <c:pt idx="41">
                  <c:v>4.1999999999999997E-3</c:v>
                </c:pt>
                <c:pt idx="42">
                  <c:v>4.3E-3</c:v>
                </c:pt>
                <c:pt idx="43">
                  <c:v>4.4000000000000003E-3</c:v>
                </c:pt>
                <c:pt idx="44">
                  <c:v>4.5000000000000005E-3</c:v>
                </c:pt>
                <c:pt idx="45">
                  <c:v>4.5999999999999999E-3</c:v>
                </c:pt>
                <c:pt idx="46">
                  <c:v>4.6999999999999993E-3</c:v>
                </c:pt>
                <c:pt idx="47">
                  <c:v>4.7999999999999996E-3</c:v>
                </c:pt>
                <c:pt idx="48">
                  <c:v>4.8999999999999998E-3</c:v>
                </c:pt>
                <c:pt idx="49">
                  <c:v>5.0000000000000001E-3</c:v>
                </c:pt>
                <c:pt idx="50">
                  <c:v>5.1000000000000004E-3</c:v>
                </c:pt>
                <c:pt idx="51">
                  <c:v>5.1999999999999998E-3</c:v>
                </c:pt>
                <c:pt idx="52">
                  <c:v>5.3E-3</c:v>
                </c:pt>
                <c:pt idx="53">
                  <c:v>5.4000000000000003E-3</c:v>
                </c:pt>
                <c:pt idx="54">
                  <c:v>5.5000000000000005E-3</c:v>
                </c:pt>
                <c:pt idx="55">
                  <c:v>5.6000000000000008E-3</c:v>
                </c:pt>
                <c:pt idx="56">
                  <c:v>5.6999999999999993E-3</c:v>
                </c:pt>
                <c:pt idx="57">
                  <c:v>5.7999999999999996E-3</c:v>
                </c:pt>
                <c:pt idx="58">
                  <c:v>5.8999999999999999E-3</c:v>
                </c:pt>
                <c:pt idx="59">
                  <c:v>6.0000000000000001E-3</c:v>
                </c:pt>
                <c:pt idx="60">
                  <c:v>6.0999999999999995E-3</c:v>
                </c:pt>
                <c:pt idx="61">
                  <c:v>6.1999999999999998E-3</c:v>
                </c:pt>
                <c:pt idx="62">
                  <c:v>6.3E-3</c:v>
                </c:pt>
                <c:pt idx="63">
                  <c:v>6.4000000000000003E-3</c:v>
                </c:pt>
                <c:pt idx="64">
                  <c:v>6.5000000000000006E-3</c:v>
                </c:pt>
                <c:pt idx="65">
                  <c:v>6.6E-3</c:v>
                </c:pt>
                <c:pt idx="66">
                  <c:v>6.7000000000000002E-3</c:v>
                </c:pt>
                <c:pt idx="67">
                  <c:v>6.8000000000000005E-3</c:v>
                </c:pt>
                <c:pt idx="68">
                  <c:v>6.8999999999999999E-3</c:v>
                </c:pt>
                <c:pt idx="69">
                  <c:v>6.9999999999999993E-3</c:v>
                </c:pt>
                <c:pt idx="70">
                  <c:v>7.0999999999999995E-3</c:v>
                </c:pt>
                <c:pt idx="71">
                  <c:v>7.1999999999999998E-3</c:v>
                </c:pt>
                <c:pt idx="72">
                  <c:v>7.3000000000000001E-3</c:v>
                </c:pt>
                <c:pt idx="73">
                  <c:v>7.4000000000000003E-3</c:v>
                </c:pt>
                <c:pt idx="74">
                  <c:v>7.4999999999999997E-3</c:v>
                </c:pt>
                <c:pt idx="75">
                  <c:v>7.6E-3</c:v>
                </c:pt>
                <c:pt idx="76">
                  <c:v>7.7000000000000002E-3</c:v>
                </c:pt>
                <c:pt idx="77">
                  <c:v>7.8000000000000005E-3</c:v>
                </c:pt>
                <c:pt idx="78">
                  <c:v>7.9000000000000008E-3</c:v>
                </c:pt>
                <c:pt idx="79">
                  <c:v>8.0000000000000002E-3</c:v>
                </c:pt>
                <c:pt idx="80">
                  <c:v>8.1000000000000013E-3</c:v>
                </c:pt>
                <c:pt idx="81">
                  <c:v>8.199999999999999E-3</c:v>
                </c:pt>
                <c:pt idx="82">
                  <c:v>8.3000000000000001E-3</c:v>
                </c:pt>
                <c:pt idx="83">
                  <c:v>8.3999999999999995E-3</c:v>
                </c:pt>
                <c:pt idx="84">
                  <c:v>8.5000000000000006E-3</c:v>
                </c:pt>
                <c:pt idx="85">
                  <c:v>8.6E-3</c:v>
                </c:pt>
                <c:pt idx="86">
                  <c:v>8.6999999999999994E-3</c:v>
                </c:pt>
                <c:pt idx="87">
                  <c:v>8.8000000000000005E-3</c:v>
                </c:pt>
                <c:pt idx="88">
                  <c:v>8.8999999999999999E-3</c:v>
                </c:pt>
                <c:pt idx="89">
                  <c:v>9.0000000000000011E-3</c:v>
                </c:pt>
                <c:pt idx="90">
                  <c:v>9.1000000000000004E-3</c:v>
                </c:pt>
                <c:pt idx="91">
                  <c:v>9.1999999999999998E-3</c:v>
                </c:pt>
                <c:pt idx="92">
                  <c:v>9.300000000000001E-3</c:v>
                </c:pt>
                <c:pt idx="93">
                  <c:v>9.3999999999999986E-3</c:v>
                </c:pt>
                <c:pt idx="94">
                  <c:v>9.4999999999999998E-3</c:v>
                </c:pt>
                <c:pt idx="95">
                  <c:v>9.5999999999999992E-3</c:v>
                </c:pt>
                <c:pt idx="96">
                  <c:v>9.7000000000000003E-3</c:v>
                </c:pt>
                <c:pt idx="97">
                  <c:v>9.7999999999999997E-3</c:v>
                </c:pt>
                <c:pt idx="98">
                  <c:v>9.8999999999999991E-3</c:v>
                </c:pt>
                <c:pt idx="99">
                  <c:v>0.01</c:v>
                </c:pt>
              </c:numCache>
            </c:numRef>
          </c:xVal>
          <c:yVal>
            <c:numRef>
              <c:f>'NCP1623 design tool'!$AM$58:$AM$157</c:f>
              <c:numCache>
                <c:formatCode>General</c:formatCode>
                <c:ptCount val="100"/>
                <c:pt idx="0">
                  <c:v>189.29858752902146</c:v>
                </c:pt>
                <c:pt idx="1">
                  <c:v>186.225211105732</c:v>
                </c:pt>
                <c:pt idx="2">
                  <c:v>183.15790378160821</c:v>
                </c:pt>
                <c:pt idx="3">
                  <c:v>180.09969261865845</c:v>
                </c:pt>
                <c:pt idx="4">
                  <c:v>177.05359570207821</c:v>
                </c:pt>
                <c:pt idx="5">
                  <c:v>174.02261916176448</c:v>
                </c:pt>
                <c:pt idx="6">
                  <c:v>171.00975420562833</c:v>
                </c:pt>
                <c:pt idx="7">
                  <c:v>168.01797416763384</c:v>
                </c:pt>
                <c:pt idx="8">
                  <c:v>165.05023157347651</c:v>
                </c:pt>
                <c:pt idx="9">
                  <c:v>162.10945522679688</c:v>
                </c:pt>
                <c:pt idx="10">
                  <c:v>159.19854731880488</c:v>
                </c:pt>
                <c:pt idx="11">
                  <c:v>156.32038056416758</c:v>
                </c:pt>
                <c:pt idx="12">
                  <c:v>153.47779536598651</c:v>
                </c:pt>
                <c:pt idx="13">
                  <c:v>150.67359701266273</c:v>
                </c:pt>
                <c:pt idx="14">
                  <c:v>147.91055290941611</c:v>
                </c:pt>
                <c:pt idx="15">
                  <c:v>145.19138984719012</c:v>
                </c:pt>
                <c:pt idx="16">
                  <c:v>142.51879131163867</c:v>
                </c:pt>
                <c:pt idx="17">
                  <c:v>139.89539483484961</c:v>
                </c:pt>
                <c:pt idx="18">
                  <c:v>137.323789392419</c:v>
                </c:pt>
                <c:pt idx="19">
                  <c:v>134.80651284844492</c:v>
                </c:pt>
                <c:pt idx="20">
                  <c:v>132.34604945096171</c:v>
                </c:pt>
                <c:pt idx="21">
                  <c:v>129.94482738028736</c:v>
                </c:pt>
                <c:pt idx="22">
                  <c:v>127.60521635270264</c:v>
                </c:pt>
                <c:pt idx="23">
                  <c:v>125.32952528182702</c:v>
                </c:pt>
                <c:pt idx="24">
                  <c:v>123.11999999999999</c:v>
                </c:pt>
                <c:pt idx="25">
                  <c:v>120.97882104191547</c:v>
                </c:pt>
                <c:pt idx="26">
                  <c:v>118.90810149269745</c:v>
                </c:pt>
                <c:pt idx="27">
                  <c:v>116.90988490253996</c:v>
                </c:pt>
                <c:pt idx="28">
                  <c:v>114.98614326996992</c:v>
                </c:pt>
                <c:pt idx="29">
                  <c:v>113.13877509572254</c:v>
                </c:pt>
                <c:pt idx="30">
                  <c:v>111.36960350915028</c:v>
                </c:pt>
                <c:pt idx="31">
                  <c:v>109.6803744690145</c:v>
                </c:pt>
                <c:pt idx="32">
                  <c:v>108.07275504043461</c:v>
                </c:pt>
                <c:pt idx="33">
                  <c:v>106.54833174969646</c:v>
                </c:pt>
                <c:pt idx="34">
                  <c:v>105.10860901854217</c:v>
                </c:pt>
                <c:pt idx="35">
                  <c:v>103.75500767948746</c:v>
                </c:pt>
                <c:pt idx="36">
                  <c:v>102.48886357363176</c:v>
                </c:pt>
                <c:pt idx="37">
                  <c:v>101.31142623234413</c:v>
                </c:pt>
                <c:pt idx="38">
                  <c:v>100.2238576441267</c:v>
                </c:pt>
                <c:pt idx="39">
                  <c:v>99.227231107872257</c:v>
                </c:pt>
                <c:pt idx="40">
                  <c:v>98.322530173647934</c:v>
                </c:pt>
                <c:pt idx="41">
                  <c:v>97.510647672049913</c:v>
                </c:pt>
                <c:pt idx="42">
                  <c:v>96.79238483308751</c:v>
                </c:pt>
                <c:pt idx="43">
                  <c:v>96.168450495465891</c:v>
                </c:pt>
                <c:pt idx="44">
                  <c:v>95.639460407047764</c:v>
                </c:pt>
                <c:pt idx="45">
                  <c:v>95.205936617184662</c:v>
                </c:pt>
                <c:pt idx="46">
                  <c:v>94.868306961517206</c:v>
                </c:pt>
                <c:pt idx="47">
                  <c:v>94.626904639753008</c:v>
                </c:pt>
                <c:pt idx="48">
                  <c:v>94.481967886838788</c:v>
                </c:pt>
                <c:pt idx="49">
                  <c:v>94.433639737851294</c:v>
                </c:pt>
                <c:pt idx="50">
                  <c:v>94.481967886838788</c:v>
                </c:pt>
                <c:pt idx="51">
                  <c:v>94.626904639753008</c:v>
                </c:pt>
                <c:pt idx="52">
                  <c:v>94.868306961517206</c:v>
                </c:pt>
                <c:pt idx="53">
                  <c:v>95.205936617184662</c:v>
                </c:pt>
                <c:pt idx="54">
                  <c:v>95.639460407047778</c:v>
                </c:pt>
                <c:pt idx="55">
                  <c:v>96.168450495465905</c:v>
                </c:pt>
                <c:pt idx="56">
                  <c:v>96.79238483308751</c:v>
                </c:pt>
                <c:pt idx="57">
                  <c:v>97.510647672049899</c:v>
                </c:pt>
                <c:pt idx="58">
                  <c:v>98.32253017364792</c:v>
                </c:pt>
                <c:pt idx="59">
                  <c:v>99.227231107872257</c:v>
                </c:pt>
                <c:pt idx="60">
                  <c:v>100.2238576441267</c:v>
                </c:pt>
                <c:pt idx="61">
                  <c:v>101.31142623234415</c:v>
                </c:pt>
                <c:pt idx="62">
                  <c:v>102.48886357363176</c:v>
                </c:pt>
                <c:pt idx="63">
                  <c:v>103.75500767948746</c:v>
                </c:pt>
                <c:pt idx="64">
                  <c:v>105.10860901854217</c:v>
                </c:pt>
                <c:pt idx="65">
                  <c:v>106.54833174969647</c:v>
                </c:pt>
                <c:pt idx="66">
                  <c:v>108.07275504043461</c:v>
                </c:pt>
                <c:pt idx="67">
                  <c:v>109.6803744690145</c:v>
                </c:pt>
                <c:pt idx="68">
                  <c:v>111.36960350915029</c:v>
                </c:pt>
                <c:pt idx="69">
                  <c:v>113.13877509572254</c:v>
                </c:pt>
                <c:pt idx="70">
                  <c:v>114.9861432699699</c:v>
                </c:pt>
                <c:pt idx="71">
                  <c:v>116.90988490253996</c:v>
                </c:pt>
                <c:pt idx="72">
                  <c:v>118.90810149269743</c:v>
                </c:pt>
                <c:pt idx="73">
                  <c:v>120.97882104191547</c:v>
                </c:pt>
                <c:pt idx="74">
                  <c:v>123.11999999999999</c:v>
                </c:pt>
                <c:pt idx="75">
                  <c:v>125.32952528182706</c:v>
                </c:pt>
                <c:pt idx="76">
                  <c:v>127.60521635270264</c:v>
                </c:pt>
                <c:pt idx="77">
                  <c:v>129.94482738028742</c:v>
                </c:pt>
                <c:pt idx="78">
                  <c:v>132.34604945096171</c:v>
                </c:pt>
                <c:pt idx="79">
                  <c:v>134.8065128484449</c:v>
                </c:pt>
                <c:pt idx="80">
                  <c:v>137.32378939241903</c:v>
                </c:pt>
                <c:pt idx="81">
                  <c:v>139.89539483484955</c:v>
                </c:pt>
                <c:pt idx="82">
                  <c:v>142.51879131163867</c:v>
                </c:pt>
                <c:pt idx="83">
                  <c:v>145.19138984719012</c:v>
                </c:pt>
                <c:pt idx="84">
                  <c:v>147.91055290941611</c:v>
                </c:pt>
                <c:pt idx="85">
                  <c:v>150.67359701266275</c:v>
                </c:pt>
                <c:pt idx="86">
                  <c:v>153.47779536598651</c:v>
                </c:pt>
                <c:pt idx="87">
                  <c:v>156.32038056416758</c:v>
                </c:pt>
                <c:pt idx="88">
                  <c:v>159.19854731880491</c:v>
                </c:pt>
                <c:pt idx="89">
                  <c:v>162.10945522679688</c:v>
                </c:pt>
                <c:pt idx="90">
                  <c:v>165.05023157347651</c:v>
                </c:pt>
                <c:pt idx="91">
                  <c:v>168.01797416763384</c:v>
                </c:pt>
                <c:pt idx="92">
                  <c:v>171.00975420562835</c:v>
                </c:pt>
                <c:pt idx="93">
                  <c:v>174.02261916176445</c:v>
                </c:pt>
                <c:pt idx="94">
                  <c:v>177.05359570207821</c:v>
                </c:pt>
                <c:pt idx="95">
                  <c:v>180.09969261865842</c:v>
                </c:pt>
                <c:pt idx="96">
                  <c:v>183.15790378160821</c:v>
                </c:pt>
                <c:pt idx="97">
                  <c:v>186.22521110573197</c:v>
                </c:pt>
                <c:pt idx="98">
                  <c:v>189.2985875290214</c:v>
                </c:pt>
                <c:pt idx="99">
                  <c:v>192.37499999999997</c:v>
                </c:pt>
              </c:numCache>
            </c:numRef>
          </c:yVal>
          <c:smooth val="1"/>
          <c:extLst>
            <c:ext xmlns:c16="http://schemas.microsoft.com/office/drawing/2014/chart" uri="{C3380CC4-5D6E-409C-BE32-E72D297353CC}">
              <c16:uniqueId val="{00000001-9B64-4B48-BCC2-AFCFEEEBBFB4}"/>
            </c:ext>
          </c:extLst>
        </c:ser>
        <c:ser>
          <c:idx val="2"/>
          <c:order val="2"/>
          <c:tx>
            <c:strRef>
              <c:f>'NCP1623 design tool'!$AP$57</c:f>
              <c:strCache>
                <c:ptCount val="1"/>
                <c:pt idx="0">
                  <c:v>fsw.load2</c:v>
                </c:pt>
              </c:strCache>
            </c:strRef>
          </c:tx>
          <c:spPr>
            <a:ln w="19050" cap="rnd">
              <a:solidFill>
                <a:schemeClr val="accent3"/>
              </a:solidFill>
              <a:round/>
            </a:ln>
            <a:effectLst/>
          </c:spPr>
          <c:marker>
            <c:symbol val="none"/>
          </c:marker>
          <c:xVal>
            <c:numRef>
              <c:f>'NCP1623 design tool'!$AI$58:$AI$157</c:f>
              <c:numCache>
                <c:formatCode>General</c:formatCode>
                <c:ptCount val="100"/>
                <c:pt idx="0">
                  <c:v>1E-4</c:v>
                </c:pt>
                <c:pt idx="1">
                  <c:v>2.0000000000000001E-4</c:v>
                </c:pt>
                <c:pt idx="2">
                  <c:v>2.9999999999999997E-4</c:v>
                </c:pt>
                <c:pt idx="3">
                  <c:v>4.0000000000000002E-4</c:v>
                </c:pt>
                <c:pt idx="4">
                  <c:v>5.0000000000000001E-4</c:v>
                </c:pt>
                <c:pt idx="5">
                  <c:v>5.9999999999999995E-4</c:v>
                </c:pt>
                <c:pt idx="6">
                  <c:v>7.000000000000001E-4</c:v>
                </c:pt>
                <c:pt idx="7">
                  <c:v>8.0000000000000004E-4</c:v>
                </c:pt>
                <c:pt idx="8">
                  <c:v>8.9999999999999998E-4</c:v>
                </c:pt>
                <c:pt idx="9">
                  <c:v>1E-3</c:v>
                </c:pt>
                <c:pt idx="10">
                  <c:v>1.1000000000000001E-3</c:v>
                </c:pt>
                <c:pt idx="11">
                  <c:v>1.1999999999999999E-3</c:v>
                </c:pt>
                <c:pt idx="12">
                  <c:v>1.2999999999999999E-3</c:v>
                </c:pt>
                <c:pt idx="13">
                  <c:v>1.4000000000000002E-3</c:v>
                </c:pt>
                <c:pt idx="14">
                  <c:v>1.5E-3</c:v>
                </c:pt>
                <c:pt idx="15">
                  <c:v>1.6000000000000001E-3</c:v>
                </c:pt>
                <c:pt idx="16">
                  <c:v>1.7000000000000001E-3</c:v>
                </c:pt>
                <c:pt idx="17">
                  <c:v>1.8E-3</c:v>
                </c:pt>
                <c:pt idx="18">
                  <c:v>1.9E-3</c:v>
                </c:pt>
                <c:pt idx="19">
                  <c:v>2E-3</c:v>
                </c:pt>
                <c:pt idx="20">
                  <c:v>2.0999999999999999E-3</c:v>
                </c:pt>
                <c:pt idx="21">
                  <c:v>2.2000000000000001E-3</c:v>
                </c:pt>
                <c:pt idx="22">
                  <c:v>2.3E-3</c:v>
                </c:pt>
                <c:pt idx="23">
                  <c:v>2.3999999999999998E-3</c:v>
                </c:pt>
                <c:pt idx="24">
                  <c:v>2.5000000000000001E-3</c:v>
                </c:pt>
                <c:pt idx="25">
                  <c:v>2.5999999999999999E-3</c:v>
                </c:pt>
                <c:pt idx="26">
                  <c:v>2.7000000000000001E-3</c:v>
                </c:pt>
                <c:pt idx="27">
                  <c:v>2.8000000000000004E-3</c:v>
                </c:pt>
                <c:pt idx="28">
                  <c:v>2.8999999999999998E-3</c:v>
                </c:pt>
                <c:pt idx="29">
                  <c:v>3.0000000000000001E-3</c:v>
                </c:pt>
                <c:pt idx="30">
                  <c:v>3.0999999999999999E-3</c:v>
                </c:pt>
                <c:pt idx="31">
                  <c:v>3.2000000000000002E-3</c:v>
                </c:pt>
                <c:pt idx="32">
                  <c:v>3.3E-3</c:v>
                </c:pt>
                <c:pt idx="33">
                  <c:v>3.4000000000000002E-3</c:v>
                </c:pt>
                <c:pt idx="34">
                  <c:v>3.4999999999999996E-3</c:v>
                </c:pt>
                <c:pt idx="35">
                  <c:v>3.5999999999999999E-3</c:v>
                </c:pt>
                <c:pt idx="36">
                  <c:v>3.7000000000000002E-3</c:v>
                </c:pt>
                <c:pt idx="37">
                  <c:v>3.8E-3</c:v>
                </c:pt>
                <c:pt idx="38">
                  <c:v>3.9000000000000003E-3</c:v>
                </c:pt>
                <c:pt idx="39">
                  <c:v>4.0000000000000001E-3</c:v>
                </c:pt>
                <c:pt idx="40">
                  <c:v>4.0999999999999995E-3</c:v>
                </c:pt>
                <c:pt idx="41">
                  <c:v>4.1999999999999997E-3</c:v>
                </c:pt>
                <c:pt idx="42">
                  <c:v>4.3E-3</c:v>
                </c:pt>
                <c:pt idx="43">
                  <c:v>4.4000000000000003E-3</c:v>
                </c:pt>
                <c:pt idx="44">
                  <c:v>4.5000000000000005E-3</c:v>
                </c:pt>
                <c:pt idx="45">
                  <c:v>4.5999999999999999E-3</c:v>
                </c:pt>
                <c:pt idx="46">
                  <c:v>4.6999999999999993E-3</c:v>
                </c:pt>
                <c:pt idx="47">
                  <c:v>4.7999999999999996E-3</c:v>
                </c:pt>
                <c:pt idx="48">
                  <c:v>4.8999999999999998E-3</c:v>
                </c:pt>
                <c:pt idx="49">
                  <c:v>5.0000000000000001E-3</c:v>
                </c:pt>
                <c:pt idx="50">
                  <c:v>5.1000000000000004E-3</c:v>
                </c:pt>
                <c:pt idx="51">
                  <c:v>5.1999999999999998E-3</c:v>
                </c:pt>
                <c:pt idx="52">
                  <c:v>5.3E-3</c:v>
                </c:pt>
                <c:pt idx="53">
                  <c:v>5.4000000000000003E-3</c:v>
                </c:pt>
                <c:pt idx="54">
                  <c:v>5.5000000000000005E-3</c:v>
                </c:pt>
                <c:pt idx="55">
                  <c:v>5.6000000000000008E-3</c:v>
                </c:pt>
                <c:pt idx="56">
                  <c:v>5.6999999999999993E-3</c:v>
                </c:pt>
                <c:pt idx="57">
                  <c:v>5.7999999999999996E-3</c:v>
                </c:pt>
                <c:pt idx="58">
                  <c:v>5.8999999999999999E-3</c:v>
                </c:pt>
                <c:pt idx="59">
                  <c:v>6.0000000000000001E-3</c:v>
                </c:pt>
                <c:pt idx="60">
                  <c:v>6.0999999999999995E-3</c:v>
                </c:pt>
                <c:pt idx="61">
                  <c:v>6.1999999999999998E-3</c:v>
                </c:pt>
                <c:pt idx="62">
                  <c:v>6.3E-3</c:v>
                </c:pt>
                <c:pt idx="63">
                  <c:v>6.4000000000000003E-3</c:v>
                </c:pt>
                <c:pt idx="64">
                  <c:v>6.5000000000000006E-3</c:v>
                </c:pt>
                <c:pt idx="65">
                  <c:v>6.6E-3</c:v>
                </c:pt>
                <c:pt idx="66">
                  <c:v>6.7000000000000002E-3</c:v>
                </c:pt>
                <c:pt idx="67">
                  <c:v>6.8000000000000005E-3</c:v>
                </c:pt>
                <c:pt idx="68">
                  <c:v>6.8999999999999999E-3</c:v>
                </c:pt>
                <c:pt idx="69">
                  <c:v>6.9999999999999993E-3</c:v>
                </c:pt>
                <c:pt idx="70">
                  <c:v>7.0999999999999995E-3</c:v>
                </c:pt>
                <c:pt idx="71">
                  <c:v>7.1999999999999998E-3</c:v>
                </c:pt>
                <c:pt idx="72">
                  <c:v>7.3000000000000001E-3</c:v>
                </c:pt>
                <c:pt idx="73">
                  <c:v>7.4000000000000003E-3</c:v>
                </c:pt>
                <c:pt idx="74">
                  <c:v>7.4999999999999997E-3</c:v>
                </c:pt>
                <c:pt idx="75">
                  <c:v>7.6E-3</c:v>
                </c:pt>
                <c:pt idx="76">
                  <c:v>7.7000000000000002E-3</c:v>
                </c:pt>
                <c:pt idx="77">
                  <c:v>7.8000000000000005E-3</c:v>
                </c:pt>
                <c:pt idx="78">
                  <c:v>7.9000000000000008E-3</c:v>
                </c:pt>
                <c:pt idx="79">
                  <c:v>8.0000000000000002E-3</c:v>
                </c:pt>
                <c:pt idx="80">
                  <c:v>8.1000000000000013E-3</c:v>
                </c:pt>
                <c:pt idx="81">
                  <c:v>8.199999999999999E-3</c:v>
                </c:pt>
                <c:pt idx="82">
                  <c:v>8.3000000000000001E-3</c:v>
                </c:pt>
                <c:pt idx="83">
                  <c:v>8.3999999999999995E-3</c:v>
                </c:pt>
                <c:pt idx="84">
                  <c:v>8.5000000000000006E-3</c:v>
                </c:pt>
                <c:pt idx="85">
                  <c:v>8.6E-3</c:v>
                </c:pt>
                <c:pt idx="86">
                  <c:v>8.6999999999999994E-3</c:v>
                </c:pt>
                <c:pt idx="87">
                  <c:v>8.8000000000000005E-3</c:v>
                </c:pt>
                <c:pt idx="88">
                  <c:v>8.8999999999999999E-3</c:v>
                </c:pt>
                <c:pt idx="89">
                  <c:v>9.0000000000000011E-3</c:v>
                </c:pt>
                <c:pt idx="90">
                  <c:v>9.1000000000000004E-3</c:v>
                </c:pt>
                <c:pt idx="91">
                  <c:v>9.1999999999999998E-3</c:v>
                </c:pt>
                <c:pt idx="92">
                  <c:v>9.300000000000001E-3</c:v>
                </c:pt>
                <c:pt idx="93">
                  <c:v>9.3999999999999986E-3</c:v>
                </c:pt>
                <c:pt idx="94">
                  <c:v>9.4999999999999998E-3</c:v>
                </c:pt>
                <c:pt idx="95">
                  <c:v>9.5999999999999992E-3</c:v>
                </c:pt>
                <c:pt idx="96">
                  <c:v>9.7000000000000003E-3</c:v>
                </c:pt>
                <c:pt idx="97">
                  <c:v>9.7999999999999997E-3</c:v>
                </c:pt>
                <c:pt idx="98">
                  <c:v>9.8999999999999991E-3</c:v>
                </c:pt>
                <c:pt idx="99">
                  <c:v>0.01</c:v>
                </c:pt>
              </c:numCache>
            </c:numRef>
          </c:xVal>
          <c:yVal>
            <c:numRef>
              <c:f>'NCP1623 design tool'!$AP$58:$AP$157</c:f>
              <c:numCache>
                <c:formatCode>General</c:formatCode>
                <c:ptCount val="100"/>
                <c:pt idx="0">
                  <c:v>225.0062034095024</c:v>
                </c:pt>
                <c:pt idx="1">
                  <c:v>221.733901235384</c:v>
                </c:pt>
                <c:pt idx="2">
                  <c:v>218.45710530616142</c:v>
                </c:pt>
                <c:pt idx="3">
                  <c:v>215.17906264425486</c:v>
                </c:pt>
                <c:pt idx="4">
                  <c:v>211.90305429626559</c:v>
                </c:pt>
                <c:pt idx="5">
                  <c:v>208.63239225132014</c:v>
                </c:pt>
                <c:pt idx="6">
                  <c:v>205.37041619608769</c:v>
                </c:pt>
                <c:pt idx="7">
                  <c:v>202.12049010647519</c:v>
                </c:pt>
                <c:pt idx="8">
                  <c:v>198.88599867668674</c:v>
                </c:pt>
                <c:pt idx="9">
                  <c:v>195.6703435870597</c:v>
                </c:pt>
                <c:pt idx="10">
                  <c:v>192.47693961284975</c:v>
                </c:pt>
                <c:pt idx="11">
                  <c:v>189.30921057693689</c:v>
                </c:pt>
                <c:pt idx="12">
                  <c:v>186.17058515024817</c:v>
                </c:pt>
                <c:pt idx="13">
                  <c:v>183.06449250455535</c:v>
                </c:pt>
                <c:pt idx="14">
                  <c:v>179.99435782318193</c:v>
                </c:pt>
                <c:pt idx="15">
                  <c:v>176.96359767606029</c:v>
                </c:pt>
                <c:pt idx="16">
                  <c:v>173.97561526649309</c:v>
                </c:pt>
                <c:pt idx="17">
                  <c:v>171.03379555790173</c:v>
                </c:pt>
                <c:pt idx="18">
                  <c:v>168.14150028977451</c:v>
                </c:pt>
                <c:pt idx="19">
                  <c:v>165.30206289295413</c:v>
                </c:pt>
                <c:pt idx="20">
                  <c:v>162.5187833153243</c:v>
                </c:pt>
                <c:pt idx="21">
                  <c:v>159.79492276985556</c:v>
                </c:pt>
                <c:pt idx="22">
                  <c:v>157.13369841784993</c:v>
                </c:pt>
                <c:pt idx="23">
                  <c:v>154.53827800106959</c:v>
                </c:pt>
                <c:pt idx="24">
                  <c:v>152.0117744372435</c:v>
                </c:pt>
                <c:pt idx="25">
                  <c:v>149.55724039420286</c:v>
                </c:pt>
                <c:pt idx="26">
                  <c:v>147.1776628586039</c:v>
                </c:pt>
                <c:pt idx="27">
                  <c:v>144.87595771583443</c:v>
                </c:pt>
                <c:pt idx="28">
                  <c:v>142.65496435827313</c:v>
                </c:pt>
                <c:pt idx="29">
                  <c:v>140.51744033955828</c:v>
                </c:pt>
                <c:pt idx="30">
                  <c:v>138.46605609293167</c:v>
                </c:pt>
                <c:pt idx="31">
                  <c:v>136.50338973203304</c:v>
                </c:pt>
                <c:pt idx="32">
                  <c:v>134.63192195273564</c:v>
                </c:pt>
                <c:pt idx="33">
                  <c:v>132.85403105472369</c:v>
                </c:pt>
                <c:pt idx="34">
                  <c:v>131.1719881015124</c:v>
                </c:pt>
                <c:pt idx="35">
                  <c:v>129.58795223749942</c:v>
                </c:pt>
                <c:pt idx="36">
                  <c:v>128.10396618041048</c:v>
                </c:pt>
                <c:pt idx="37">
                  <c:v>126.72195190715367</c:v>
                </c:pt>
                <c:pt idx="38">
                  <c:v>125.4437065506358</c:v>
                </c:pt>
                <c:pt idx="39">
                  <c:v>124.27089852450983</c:v>
                </c:pt>
                <c:pt idx="40">
                  <c:v>123.20506389212433</c:v>
                </c:pt>
                <c:pt idx="41">
                  <c:v>122.24760299513177</c:v>
                </c:pt>
                <c:pt idx="42">
                  <c:v>121.39977735628815</c:v>
                </c:pt>
                <c:pt idx="43">
                  <c:v>120.66270686994613</c:v>
                </c:pt>
                <c:pt idx="44">
                  <c:v>120.03736729261497</c:v>
                </c:pt>
                <c:pt idx="45">
                  <c:v>119.52458804473734</c:v>
                </c:pt>
                <c:pt idx="46">
                  <c:v>119.12505033352758</c:v>
                </c:pt>
                <c:pt idx="47">
                  <c:v>118.83928560533263</c:v>
                </c:pt>
                <c:pt idx="48">
                  <c:v>118.66767433453208</c:v>
                </c:pt>
                <c:pt idx="49">
                  <c:v>118.61044515449045</c:v>
                </c:pt>
                <c:pt idx="50">
                  <c:v>118.66767433453208</c:v>
                </c:pt>
                <c:pt idx="51">
                  <c:v>118.83928560533263</c:v>
                </c:pt>
                <c:pt idx="52">
                  <c:v>119.12505033352758</c:v>
                </c:pt>
                <c:pt idx="53">
                  <c:v>119.52458804473737</c:v>
                </c:pt>
                <c:pt idx="54">
                  <c:v>120.03736729261497</c:v>
                </c:pt>
                <c:pt idx="55">
                  <c:v>120.66270686994613</c:v>
                </c:pt>
                <c:pt idx="56">
                  <c:v>121.39977735628815</c:v>
                </c:pt>
                <c:pt idx="57">
                  <c:v>122.24760299513177</c:v>
                </c:pt>
                <c:pt idx="58">
                  <c:v>123.20506389212429</c:v>
                </c:pt>
                <c:pt idx="59">
                  <c:v>124.27089852450983</c:v>
                </c:pt>
                <c:pt idx="60">
                  <c:v>125.4437065506358</c:v>
                </c:pt>
                <c:pt idx="61">
                  <c:v>126.7219519071537</c:v>
                </c:pt>
                <c:pt idx="62">
                  <c:v>128.10396618041048</c:v>
                </c:pt>
                <c:pt idx="63">
                  <c:v>129.58795223749942</c:v>
                </c:pt>
                <c:pt idx="64">
                  <c:v>131.1719881015124</c:v>
                </c:pt>
                <c:pt idx="65">
                  <c:v>132.85403105472372</c:v>
                </c:pt>
                <c:pt idx="66">
                  <c:v>134.63192195273564</c:v>
                </c:pt>
                <c:pt idx="67">
                  <c:v>136.50338973203304</c:v>
                </c:pt>
                <c:pt idx="68">
                  <c:v>138.46605609293169</c:v>
                </c:pt>
                <c:pt idx="69">
                  <c:v>140.51744033955828</c:v>
                </c:pt>
                <c:pt idx="70">
                  <c:v>142.65496435827308</c:v>
                </c:pt>
                <c:pt idx="71">
                  <c:v>144.87595771583443</c:v>
                </c:pt>
                <c:pt idx="72">
                  <c:v>147.17766285860387</c:v>
                </c:pt>
                <c:pt idx="73">
                  <c:v>149.55724039420286</c:v>
                </c:pt>
                <c:pt idx="74">
                  <c:v>152.0117744372435</c:v>
                </c:pt>
                <c:pt idx="75">
                  <c:v>154.53827800106961</c:v>
                </c:pt>
                <c:pt idx="76">
                  <c:v>157.13369841784993</c:v>
                </c:pt>
                <c:pt idx="77">
                  <c:v>159.79492276985562</c:v>
                </c:pt>
                <c:pt idx="78">
                  <c:v>162.5187833153243</c:v>
                </c:pt>
                <c:pt idx="79">
                  <c:v>165.3020628929541</c:v>
                </c:pt>
                <c:pt idx="80">
                  <c:v>168.14150028977451</c:v>
                </c:pt>
                <c:pt idx="81">
                  <c:v>171.03379555790167</c:v>
                </c:pt>
                <c:pt idx="82">
                  <c:v>173.97561526649309</c:v>
                </c:pt>
                <c:pt idx="83">
                  <c:v>176.96359767606029</c:v>
                </c:pt>
                <c:pt idx="84">
                  <c:v>179.99435782318196</c:v>
                </c:pt>
                <c:pt idx="85">
                  <c:v>183.06449250455537</c:v>
                </c:pt>
                <c:pt idx="86">
                  <c:v>186.17058515024817</c:v>
                </c:pt>
                <c:pt idx="87">
                  <c:v>189.30921057693689</c:v>
                </c:pt>
                <c:pt idx="88">
                  <c:v>192.47693961284978</c:v>
                </c:pt>
                <c:pt idx="89">
                  <c:v>195.67034358705973</c:v>
                </c:pt>
                <c:pt idx="90">
                  <c:v>198.88599867668674</c:v>
                </c:pt>
                <c:pt idx="91">
                  <c:v>202.12049010647519</c:v>
                </c:pt>
                <c:pt idx="92">
                  <c:v>205.37041619608769</c:v>
                </c:pt>
                <c:pt idx="93">
                  <c:v>208.63239225132011</c:v>
                </c:pt>
                <c:pt idx="94">
                  <c:v>211.90305429626559</c:v>
                </c:pt>
                <c:pt idx="95">
                  <c:v>215.17906264425483</c:v>
                </c:pt>
                <c:pt idx="96">
                  <c:v>218.45710530616142</c:v>
                </c:pt>
                <c:pt idx="97">
                  <c:v>221.73390123538394</c:v>
                </c:pt>
                <c:pt idx="98">
                  <c:v>225.0062034095024</c:v>
                </c:pt>
                <c:pt idx="99">
                  <c:v>228.27080174925041</c:v>
                </c:pt>
              </c:numCache>
            </c:numRef>
          </c:yVal>
          <c:smooth val="1"/>
          <c:extLst>
            <c:ext xmlns:c16="http://schemas.microsoft.com/office/drawing/2014/chart" uri="{C3380CC4-5D6E-409C-BE32-E72D297353CC}">
              <c16:uniqueId val="{00000002-9B64-4B48-BCC2-AFCFEEEBBFB4}"/>
            </c:ext>
          </c:extLst>
        </c:ser>
        <c:ser>
          <c:idx val="3"/>
          <c:order val="3"/>
          <c:tx>
            <c:strRef>
              <c:f>'NCP1623 design tool'!$AS$57</c:f>
              <c:strCache>
                <c:ptCount val="1"/>
                <c:pt idx="0">
                  <c:v>fsw.load3</c:v>
                </c:pt>
              </c:strCache>
            </c:strRef>
          </c:tx>
          <c:spPr>
            <a:ln w="19050" cap="rnd">
              <a:solidFill>
                <a:schemeClr val="accent4"/>
              </a:solidFill>
              <a:round/>
            </a:ln>
            <a:effectLst/>
          </c:spPr>
          <c:marker>
            <c:symbol val="none"/>
          </c:marker>
          <c:xVal>
            <c:numRef>
              <c:f>'NCP1623 design tool'!$AI$58:$AI$157</c:f>
              <c:numCache>
                <c:formatCode>General</c:formatCode>
                <c:ptCount val="100"/>
                <c:pt idx="0">
                  <c:v>1E-4</c:v>
                </c:pt>
                <c:pt idx="1">
                  <c:v>2.0000000000000001E-4</c:v>
                </c:pt>
                <c:pt idx="2">
                  <c:v>2.9999999999999997E-4</c:v>
                </c:pt>
                <c:pt idx="3">
                  <c:v>4.0000000000000002E-4</c:v>
                </c:pt>
                <c:pt idx="4">
                  <c:v>5.0000000000000001E-4</c:v>
                </c:pt>
                <c:pt idx="5">
                  <c:v>5.9999999999999995E-4</c:v>
                </c:pt>
                <c:pt idx="6">
                  <c:v>7.000000000000001E-4</c:v>
                </c:pt>
                <c:pt idx="7">
                  <c:v>8.0000000000000004E-4</c:v>
                </c:pt>
                <c:pt idx="8">
                  <c:v>8.9999999999999998E-4</c:v>
                </c:pt>
                <c:pt idx="9">
                  <c:v>1E-3</c:v>
                </c:pt>
                <c:pt idx="10">
                  <c:v>1.1000000000000001E-3</c:v>
                </c:pt>
                <c:pt idx="11">
                  <c:v>1.1999999999999999E-3</c:v>
                </c:pt>
                <c:pt idx="12">
                  <c:v>1.2999999999999999E-3</c:v>
                </c:pt>
                <c:pt idx="13">
                  <c:v>1.4000000000000002E-3</c:v>
                </c:pt>
                <c:pt idx="14">
                  <c:v>1.5E-3</c:v>
                </c:pt>
                <c:pt idx="15">
                  <c:v>1.6000000000000001E-3</c:v>
                </c:pt>
                <c:pt idx="16">
                  <c:v>1.7000000000000001E-3</c:v>
                </c:pt>
                <c:pt idx="17">
                  <c:v>1.8E-3</c:v>
                </c:pt>
                <c:pt idx="18">
                  <c:v>1.9E-3</c:v>
                </c:pt>
                <c:pt idx="19">
                  <c:v>2E-3</c:v>
                </c:pt>
                <c:pt idx="20">
                  <c:v>2.0999999999999999E-3</c:v>
                </c:pt>
                <c:pt idx="21">
                  <c:v>2.2000000000000001E-3</c:v>
                </c:pt>
                <c:pt idx="22">
                  <c:v>2.3E-3</c:v>
                </c:pt>
                <c:pt idx="23">
                  <c:v>2.3999999999999998E-3</c:v>
                </c:pt>
                <c:pt idx="24">
                  <c:v>2.5000000000000001E-3</c:v>
                </c:pt>
                <c:pt idx="25">
                  <c:v>2.5999999999999999E-3</c:v>
                </c:pt>
                <c:pt idx="26">
                  <c:v>2.7000000000000001E-3</c:v>
                </c:pt>
                <c:pt idx="27">
                  <c:v>2.8000000000000004E-3</c:v>
                </c:pt>
                <c:pt idx="28">
                  <c:v>2.8999999999999998E-3</c:v>
                </c:pt>
                <c:pt idx="29">
                  <c:v>3.0000000000000001E-3</c:v>
                </c:pt>
                <c:pt idx="30">
                  <c:v>3.0999999999999999E-3</c:v>
                </c:pt>
                <c:pt idx="31">
                  <c:v>3.2000000000000002E-3</c:v>
                </c:pt>
                <c:pt idx="32">
                  <c:v>3.3E-3</c:v>
                </c:pt>
                <c:pt idx="33">
                  <c:v>3.4000000000000002E-3</c:v>
                </c:pt>
                <c:pt idx="34">
                  <c:v>3.4999999999999996E-3</c:v>
                </c:pt>
                <c:pt idx="35">
                  <c:v>3.5999999999999999E-3</c:v>
                </c:pt>
                <c:pt idx="36">
                  <c:v>3.7000000000000002E-3</c:v>
                </c:pt>
                <c:pt idx="37">
                  <c:v>3.8E-3</c:v>
                </c:pt>
                <c:pt idx="38">
                  <c:v>3.9000000000000003E-3</c:v>
                </c:pt>
                <c:pt idx="39">
                  <c:v>4.0000000000000001E-3</c:v>
                </c:pt>
                <c:pt idx="40">
                  <c:v>4.0999999999999995E-3</c:v>
                </c:pt>
                <c:pt idx="41">
                  <c:v>4.1999999999999997E-3</c:v>
                </c:pt>
                <c:pt idx="42">
                  <c:v>4.3E-3</c:v>
                </c:pt>
                <c:pt idx="43">
                  <c:v>4.4000000000000003E-3</c:v>
                </c:pt>
                <c:pt idx="44">
                  <c:v>4.5000000000000005E-3</c:v>
                </c:pt>
                <c:pt idx="45">
                  <c:v>4.5999999999999999E-3</c:v>
                </c:pt>
                <c:pt idx="46">
                  <c:v>4.6999999999999993E-3</c:v>
                </c:pt>
                <c:pt idx="47">
                  <c:v>4.7999999999999996E-3</c:v>
                </c:pt>
                <c:pt idx="48">
                  <c:v>4.8999999999999998E-3</c:v>
                </c:pt>
                <c:pt idx="49">
                  <c:v>5.0000000000000001E-3</c:v>
                </c:pt>
                <c:pt idx="50">
                  <c:v>5.1000000000000004E-3</c:v>
                </c:pt>
                <c:pt idx="51">
                  <c:v>5.1999999999999998E-3</c:v>
                </c:pt>
                <c:pt idx="52">
                  <c:v>5.3E-3</c:v>
                </c:pt>
                <c:pt idx="53">
                  <c:v>5.4000000000000003E-3</c:v>
                </c:pt>
                <c:pt idx="54">
                  <c:v>5.5000000000000005E-3</c:v>
                </c:pt>
                <c:pt idx="55">
                  <c:v>5.6000000000000008E-3</c:v>
                </c:pt>
                <c:pt idx="56">
                  <c:v>5.6999999999999993E-3</c:v>
                </c:pt>
                <c:pt idx="57">
                  <c:v>5.7999999999999996E-3</c:v>
                </c:pt>
                <c:pt idx="58">
                  <c:v>5.8999999999999999E-3</c:v>
                </c:pt>
                <c:pt idx="59">
                  <c:v>6.0000000000000001E-3</c:v>
                </c:pt>
                <c:pt idx="60">
                  <c:v>6.0999999999999995E-3</c:v>
                </c:pt>
                <c:pt idx="61">
                  <c:v>6.1999999999999998E-3</c:v>
                </c:pt>
                <c:pt idx="62">
                  <c:v>6.3E-3</c:v>
                </c:pt>
                <c:pt idx="63">
                  <c:v>6.4000000000000003E-3</c:v>
                </c:pt>
                <c:pt idx="64">
                  <c:v>6.5000000000000006E-3</c:v>
                </c:pt>
                <c:pt idx="65">
                  <c:v>6.6E-3</c:v>
                </c:pt>
                <c:pt idx="66">
                  <c:v>6.7000000000000002E-3</c:v>
                </c:pt>
                <c:pt idx="67">
                  <c:v>6.8000000000000005E-3</c:v>
                </c:pt>
                <c:pt idx="68">
                  <c:v>6.8999999999999999E-3</c:v>
                </c:pt>
                <c:pt idx="69">
                  <c:v>6.9999999999999993E-3</c:v>
                </c:pt>
                <c:pt idx="70">
                  <c:v>7.0999999999999995E-3</c:v>
                </c:pt>
                <c:pt idx="71">
                  <c:v>7.1999999999999998E-3</c:v>
                </c:pt>
                <c:pt idx="72">
                  <c:v>7.3000000000000001E-3</c:v>
                </c:pt>
                <c:pt idx="73">
                  <c:v>7.4000000000000003E-3</c:v>
                </c:pt>
                <c:pt idx="74">
                  <c:v>7.4999999999999997E-3</c:v>
                </c:pt>
                <c:pt idx="75">
                  <c:v>7.6E-3</c:v>
                </c:pt>
                <c:pt idx="76">
                  <c:v>7.7000000000000002E-3</c:v>
                </c:pt>
                <c:pt idx="77">
                  <c:v>7.8000000000000005E-3</c:v>
                </c:pt>
                <c:pt idx="78">
                  <c:v>7.9000000000000008E-3</c:v>
                </c:pt>
                <c:pt idx="79">
                  <c:v>8.0000000000000002E-3</c:v>
                </c:pt>
                <c:pt idx="80">
                  <c:v>8.1000000000000013E-3</c:v>
                </c:pt>
                <c:pt idx="81">
                  <c:v>8.199999999999999E-3</c:v>
                </c:pt>
                <c:pt idx="82">
                  <c:v>8.3000000000000001E-3</c:v>
                </c:pt>
                <c:pt idx="83">
                  <c:v>8.3999999999999995E-3</c:v>
                </c:pt>
                <c:pt idx="84">
                  <c:v>8.5000000000000006E-3</c:v>
                </c:pt>
                <c:pt idx="85">
                  <c:v>8.6E-3</c:v>
                </c:pt>
                <c:pt idx="86">
                  <c:v>8.6999999999999994E-3</c:v>
                </c:pt>
                <c:pt idx="87">
                  <c:v>8.8000000000000005E-3</c:v>
                </c:pt>
                <c:pt idx="88">
                  <c:v>8.8999999999999999E-3</c:v>
                </c:pt>
                <c:pt idx="89">
                  <c:v>9.0000000000000011E-3</c:v>
                </c:pt>
                <c:pt idx="90">
                  <c:v>9.1000000000000004E-3</c:v>
                </c:pt>
                <c:pt idx="91">
                  <c:v>9.1999999999999998E-3</c:v>
                </c:pt>
                <c:pt idx="92">
                  <c:v>9.300000000000001E-3</c:v>
                </c:pt>
                <c:pt idx="93">
                  <c:v>9.3999999999999986E-3</c:v>
                </c:pt>
                <c:pt idx="94">
                  <c:v>9.4999999999999998E-3</c:v>
                </c:pt>
                <c:pt idx="95">
                  <c:v>9.5999999999999992E-3</c:v>
                </c:pt>
                <c:pt idx="96">
                  <c:v>9.7000000000000003E-3</c:v>
                </c:pt>
                <c:pt idx="97">
                  <c:v>9.7999999999999997E-3</c:v>
                </c:pt>
                <c:pt idx="98">
                  <c:v>9.8999999999999991E-3</c:v>
                </c:pt>
                <c:pt idx="99">
                  <c:v>0.01</c:v>
                </c:pt>
              </c:numCache>
            </c:numRef>
          </c:xVal>
          <c:yVal>
            <c:numRef>
              <c:f>'NCP1623 design tool'!$AS$58:$AS$157</c:f>
              <c:numCache>
                <c:formatCode>General</c:formatCode>
                <c:ptCount val="100"/>
                <c:pt idx="0">
                  <c:v>216.13767286900989</c:v>
                </c:pt>
                <c:pt idx="1">
                  <c:v>213.99471315298075</c:v>
                </c:pt>
                <c:pt idx="2">
                  <c:v>211.83103502581645</c:v>
                </c:pt>
                <c:pt idx="3">
                  <c:v>209.64843366591694</c:v>
                </c:pt>
                <c:pt idx="4">
                  <c:v>207.44879051707011</c:v>
                </c:pt>
                <c:pt idx="5">
                  <c:v>205.23407496543564</c:v>
                </c:pt>
                <c:pt idx="6">
                  <c:v>203.00634579597536</c:v>
                </c:pt>
                <c:pt idx="7">
                  <c:v>200.76775239671758</c:v>
                </c:pt>
                <c:pt idx="8">
                  <c:v>198.52053567753475</c:v>
                </c:pt>
                <c:pt idx="9">
                  <c:v>196.26702866853606</c:v>
                </c:pt>
                <c:pt idx="10">
                  <c:v>194.00965676177756</c:v>
                </c:pt>
                <c:pt idx="11">
                  <c:v>191.75093755882088</c:v>
                </c:pt>
                <c:pt idx="12">
                  <c:v>189.49348028577722</c:v>
                </c:pt>
                <c:pt idx="13">
                  <c:v>187.23998473691981</c:v>
                </c:pt>
                <c:pt idx="14">
                  <c:v>184.99323970778539</c:v>
                </c:pt>
                <c:pt idx="15">
                  <c:v>182.75612087898941</c:v>
                </c:pt>
                <c:pt idx="16">
                  <c:v>180.53158811280088</c:v>
                </c:pt>
                <c:pt idx="17">
                  <c:v>178.32268212593803</c:v>
                </c:pt>
                <c:pt idx="18">
                  <c:v>176.13252050410892</c:v>
                </c:pt>
                <c:pt idx="19">
                  <c:v>173.96429302659499</c:v>
                </c:pt>
                <c:pt idx="20">
                  <c:v>171.82125627271807</c:v>
                </c:pt>
                <c:pt idx="21">
                  <c:v>169.70672748637972</c:v>
                </c:pt>
                <c:pt idx="22">
                  <c:v>167.62407768006199</c:v>
                </c:pt>
                <c:pt idx="23">
                  <c:v>165.57672396574509</c:v>
                </c:pt>
                <c:pt idx="24">
                  <c:v>163.56812110714446</c:v>
                </c:pt>
                <c:pt idx="25">
                  <c:v>161.60175229547519</c:v>
                </c:pt>
                <c:pt idx="26">
                  <c:v>159.68111915959432</c:v>
                </c:pt>
                <c:pt idx="27">
                  <c:v>157.80973103078185</c:v>
                </c:pt>
                <c:pt idx="28">
                  <c:v>155.9910934925237</c:v>
                </c:pt>
                <c:pt idx="29">
                  <c:v>154.22869625633814</c:v>
                </c:pt>
                <c:pt idx="30">
                  <c:v>152.52600041580621</c:v>
                </c:pt>
                <c:pt idx="31">
                  <c:v>150.88642514235539</c:v>
                </c:pt>
                <c:pt idx="32">
                  <c:v>149.31333389780951</c:v>
                </c:pt>
                <c:pt idx="33">
                  <c:v>147.81002025004406</c:v>
                </c:pt>
                <c:pt idx="34">
                  <c:v>146.37969338902062</c:v>
                </c:pt>
                <c:pt idx="35">
                  <c:v>145.0254634507813</c:v>
                </c:pt>
                <c:pt idx="36">
                  <c:v>143.75032676637241</c:v>
                </c:pt>
                <c:pt idx="37">
                  <c:v>142.55715116088734</c:v>
                </c:pt>
                <c:pt idx="38">
                  <c:v>141.44866143459609</c:v>
                </c:pt>
                <c:pt idx="39">
                  <c:v>140.42742516320948</c:v>
                </c:pt>
                <c:pt idx="40">
                  <c:v>139.49583895749461</c:v>
                </c:pt>
                <c:pt idx="41">
                  <c:v>138.65611532350093</c:v>
                </c:pt>
                <c:pt idx="42">
                  <c:v>137.91027026343576</c:v>
                </c:pt>
                <c:pt idx="43">
                  <c:v>137.26011175363087</c:v>
                </c:pt>
                <c:pt idx="44">
                  <c:v>136.70722923001833</c:v>
                </c:pt>
                <c:pt idx="45">
                  <c:v>136.25298420310733</c:v>
                </c:pt>
                <c:pt idx="46">
                  <c:v>135.89850211368918</c:v>
                </c:pt>
                <c:pt idx="47">
                  <c:v>135.64466552755212</c:v>
                </c:pt>
                <c:pt idx="48">
                  <c:v>135.49210875255997</c:v>
                </c:pt>
                <c:pt idx="49">
                  <c:v>135.44121394481016</c:v>
                </c:pt>
                <c:pt idx="50">
                  <c:v>135.49210875255997</c:v>
                </c:pt>
                <c:pt idx="51">
                  <c:v>135.64466552755212</c:v>
                </c:pt>
                <c:pt idx="52">
                  <c:v>135.89850211368918</c:v>
                </c:pt>
                <c:pt idx="53">
                  <c:v>136.25298420310733</c:v>
                </c:pt>
                <c:pt idx="54">
                  <c:v>136.70722923001836</c:v>
                </c:pt>
                <c:pt idx="55">
                  <c:v>137.26011175363087</c:v>
                </c:pt>
                <c:pt idx="56">
                  <c:v>137.91027026343576</c:v>
                </c:pt>
                <c:pt idx="57">
                  <c:v>138.6561153235009</c:v>
                </c:pt>
                <c:pt idx="58">
                  <c:v>139.49583895749458</c:v>
                </c:pt>
                <c:pt idx="59">
                  <c:v>140.42742516320948</c:v>
                </c:pt>
                <c:pt idx="60">
                  <c:v>141.44866143459609</c:v>
                </c:pt>
                <c:pt idx="61">
                  <c:v>142.5571511608874</c:v>
                </c:pt>
                <c:pt idx="62">
                  <c:v>143.75032676637241</c:v>
                </c:pt>
                <c:pt idx="63">
                  <c:v>145.0254634507813</c:v>
                </c:pt>
                <c:pt idx="64">
                  <c:v>146.37969338902062</c:v>
                </c:pt>
                <c:pt idx="65">
                  <c:v>147.81002025004406</c:v>
                </c:pt>
                <c:pt idx="66">
                  <c:v>149.31333389780951</c:v>
                </c:pt>
                <c:pt idx="67">
                  <c:v>150.88642514235539</c:v>
                </c:pt>
                <c:pt idx="68">
                  <c:v>152.52600041580624</c:v>
                </c:pt>
                <c:pt idx="69">
                  <c:v>154.22869625633814</c:v>
                </c:pt>
                <c:pt idx="70">
                  <c:v>155.9910934925237</c:v>
                </c:pt>
                <c:pt idx="71">
                  <c:v>157.80973103078185</c:v>
                </c:pt>
                <c:pt idx="72">
                  <c:v>159.68111915959426</c:v>
                </c:pt>
                <c:pt idx="73">
                  <c:v>161.60175229547519</c:v>
                </c:pt>
                <c:pt idx="74">
                  <c:v>163.56812110714446</c:v>
                </c:pt>
                <c:pt idx="75">
                  <c:v>165.57672396574512</c:v>
                </c:pt>
                <c:pt idx="76">
                  <c:v>167.62407768006199</c:v>
                </c:pt>
                <c:pt idx="77">
                  <c:v>169.7067274863798</c:v>
                </c:pt>
                <c:pt idx="78">
                  <c:v>171.82125627271807</c:v>
                </c:pt>
                <c:pt idx="79">
                  <c:v>173.96429302659496</c:v>
                </c:pt>
                <c:pt idx="80">
                  <c:v>176.13252050410898</c:v>
                </c:pt>
                <c:pt idx="81">
                  <c:v>178.322682125938</c:v>
                </c:pt>
                <c:pt idx="82">
                  <c:v>180.53158811280088</c:v>
                </c:pt>
                <c:pt idx="83">
                  <c:v>182.75612087898941</c:v>
                </c:pt>
                <c:pt idx="84">
                  <c:v>184.99323970778539</c:v>
                </c:pt>
                <c:pt idx="85">
                  <c:v>187.23998473691984</c:v>
                </c:pt>
                <c:pt idx="86">
                  <c:v>189.49348028577722</c:v>
                </c:pt>
                <c:pt idx="87">
                  <c:v>191.75093755882088</c:v>
                </c:pt>
                <c:pt idx="88">
                  <c:v>194.00965676177759</c:v>
                </c:pt>
                <c:pt idx="89">
                  <c:v>196.26702866853608</c:v>
                </c:pt>
                <c:pt idx="90">
                  <c:v>198.52053567753475</c:v>
                </c:pt>
                <c:pt idx="91">
                  <c:v>200.76775239671758</c:v>
                </c:pt>
                <c:pt idx="92">
                  <c:v>203.00634579597539</c:v>
                </c:pt>
                <c:pt idx="93">
                  <c:v>205.23407496543558</c:v>
                </c:pt>
                <c:pt idx="94">
                  <c:v>207.44879051707011</c:v>
                </c:pt>
                <c:pt idx="95">
                  <c:v>209.64843366591694</c:v>
                </c:pt>
                <c:pt idx="96">
                  <c:v>211.83103502581645</c:v>
                </c:pt>
                <c:pt idx="97">
                  <c:v>213.99471315298072</c:v>
                </c:pt>
                <c:pt idx="98">
                  <c:v>216.13767286900986</c:v>
                </c:pt>
                <c:pt idx="99">
                  <c:v>218.25820339316022</c:v>
                </c:pt>
              </c:numCache>
            </c:numRef>
          </c:yVal>
          <c:smooth val="1"/>
          <c:extLst>
            <c:ext xmlns:c16="http://schemas.microsoft.com/office/drawing/2014/chart" uri="{C3380CC4-5D6E-409C-BE32-E72D297353CC}">
              <c16:uniqueId val="{00000003-9B64-4B48-BCC2-AFCFEEEBBFB4}"/>
            </c:ext>
          </c:extLst>
        </c:ser>
        <c:ser>
          <c:idx val="4"/>
          <c:order val="4"/>
          <c:tx>
            <c:strRef>
              <c:f>'NCP1623 design tool'!$AV$57</c:f>
              <c:strCache>
                <c:ptCount val="1"/>
                <c:pt idx="0">
                  <c:v>fsw.load4</c:v>
                </c:pt>
              </c:strCache>
            </c:strRef>
          </c:tx>
          <c:spPr>
            <a:ln w="19050" cap="rnd">
              <a:solidFill>
                <a:schemeClr val="accent5"/>
              </a:solidFill>
              <a:round/>
            </a:ln>
            <a:effectLst/>
          </c:spPr>
          <c:marker>
            <c:symbol val="none"/>
          </c:marker>
          <c:xVal>
            <c:numRef>
              <c:f>'NCP1623 design tool'!$AI$58:$AI$157</c:f>
              <c:numCache>
                <c:formatCode>General</c:formatCode>
                <c:ptCount val="100"/>
                <c:pt idx="0">
                  <c:v>1E-4</c:v>
                </c:pt>
                <c:pt idx="1">
                  <c:v>2.0000000000000001E-4</c:v>
                </c:pt>
                <c:pt idx="2">
                  <c:v>2.9999999999999997E-4</c:v>
                </c:pt>
                <c:pt idx="3">
                  <c:v>4.0000000000000002E-4</c:v>
                </c:pt>
                <c:pt idx="4">
                  <c:v>5.0000000000000001E-4</c:v>
                </c:pt>
                <c:pt idx="5">
                  <c:v>5.9999999999999995E-4</c:v>
                </c:pt>
                <c:pt idx="6">
                  <c:v>7.000000000000001E-4</c:v>
                </c:pt>
                <c:pt idx="7">
                  <c:v>8.0000000000000004E-4</c:v>
                </c:pt>
                <c:pt idx="8">
                  <c:v>8.9999999999999998E-4</c:v>
                </c:pt>
                <c:pt idx="9">
                  <c:v>1E-3</c:v>
                </c:pt>
                <c:pt idx="10">
                  <c:v>1.1000000000000001E-3</c:v>
                </c:pt>
                <c:pt idx="11">
                  <c:v>1.1999999999999999E-3</c:v>
                </c:pt>
                <c:pt idx="12">
                  <c:v>1.2999999999999999E-3</c:v>
                </c:pt>
                <c:pt idx="13">
                  <c:v>1.4000000000000002E-3</c:v>
                </c:pt>
                <c:pt idx="14">
                  <c:v>1.5E-3</c:v>
                </c:pt>
                <c:pt idx="15">
                  <c:v>1.6000000000000001E-3</c:v>
                </c:pt>
                <c:pt idx="16">
                  <c:v>1.7000000000000001E-3</c:v>
                </c:pt>
                <c:pt idx="17">
                  <c:v>1.8E-3</c:v>
                </c:pt>
                <c:pt idx="18">
                  <c:v>1.9E-3</c:v>
                </c:pt>
                <c:pt idx="19">
                  <c:v>2E-3</c:v>
                </c:pt>
                <c:pt idx="20">
                  <c:v>2.0999999999999999E-3</c:v>
                </c:pt>
                <c:pt idx="21">
                  <c:v>2.2000000000000001E-3</c:v>
                </c:pt>
                <c:pt idx="22">
                  <c:v>2.3E-3</c:v>
                </c:pt>
                <c:pt idx="23">
                  <c:v>2.3999999999999998E-3</c:v>
                </c:pt>
                <c:pt idx="24">
                  <c:v>2.5000000000000001E-3</c:v>
                </c:pt>
                <c:pt idx="25">
                  <c:v>2.5999999999999999E-3</c:v>
                </c:pt>
                <c:pt idx="26">
                  <c:v>2.7000000000000001E-3</c:v>
                </c:pt>
                <c:pt idx="27">
                  <c:v>2.8000000000000004E-3</c:v>
                </c:pt>
                <c:pt idx="28">
                  <c:v>2.8999999999999998E-3</c:v>
                </c:pt>
                <c:pt idx="29">
                  <c:v>3.0000000000000001E-3</c:v>
                </c:pt>
                <c:pt idx="30">
                  <c:v>3.0999999999999999E-3</c:v>
                </c:pt>
                <c:pt idx="31">
                  <c:v>3.2000000000000002E-3</c:v>
                </c:pt>
                <c:pt idx="32">
                  <c:v>3.3E-3</c:v>
                </c:pt>
                <c:pt idx="33">
                  <c:v>3.4000000000000002E-3</c:v>
                </c:pt>
                <c:pt idx="34">
                  <c:v>3.4999999999999996E-3</c:v>
                </c:pt>
                <c:pt idx="35">
                  <c:v>3.5999999999999999E-3</c:v>
                </c:pt>
                <c:pt idx="36">
                  <c:v>3.7000000000000002E-3</c:v>
                </c:pt>
                <c:pt idx="37">
                  <c:v>3.8E-3</c:v>
                </c:pt>
                <c:pt idx="38">
                  <c:v>3.9000000000000003E-3</c:v>
                </c:pt>
                <c:pt idx="39">
                  <c:v>4.0000000000000001E-3</c:v>
                </c:pt>
                <c:pt idx="40">
                  <c:v>4.0999999999999995E-3</c:v>
                </c:pt>
                <c:pt idx="41">
                  <c:v>4.1999999999999997E-3</c:v>
                </c:pt>
                <c:pt idx="42">
                  <c:v>4.3E-3</c:v>
                </c:pt>
                <c:pt idx="43">
                  <c:v>4.4000000000000003E-3</c:v>
                </c:pt>
                <c:pt idx="44">
                  <c:v>4.5000000000000005E-3</c:v>
                </c:pt>
                <c:pt idx="45">
                  <c:v>4.5999999999999999E-3</c:v>
                </c:pt>
                <c:pt idx="46">
                  <c:v>4.6999999999999993E-3</c:v>
                </c:pt>
                <c:pt idx="47">
                  <c:v>4.7999999999999996E-3</c:v>
                </c:pt>
                <c:pt idx="48">
                  <c:v>4.8999999999999998E-3</c:v>
                </c:pt>
                <c:pt idx="49">
                  <c:v>5.0000000000000001E-3</c:v>
                </c:pt>
                <c:pt idx="50">
                  <c:v>5.1000000000000004E-3</c:v>
                </c:pt>
                <c:pt idx="51">
                  <c:v>5.1999999999999998E-3</c:v>
                </c:pt>
                <c:pt idx="52">
                  <c:v>5.3E-3</c:v>
                </c:pt>
                <c:pt idx="53">
                  <c:v>5.4000000000000003E-3</c:v>
                </c:pt>
                <c:pt idx="54">
                  <c:v>5.5000000000000005E-3</c:v>
                </c:pt>
                <c:pt idx="55">
                  <c:v>5.6000000000000008E-3</c:v>
                </c:pt>
                <c:pt idx="56">
                  <c:v>5.6999999999999993E-3</c:v>
                </c:pt>
                <c:pt idx="57">
                  <c:v>5.7999999999999996E-3</c:v>
                </c:pt>
                <c:pt idx="58">
                  <c:v>5.8999999999999999E-3</c:v>
                </c:pt>
                <c:pt idx="59">
                  <c:v>6.0000000000000001E-3</c:v>
                </c:pt>
                <c:pt idx="60">
                  <c:v>6.0999999999999995E-3</c:v>
                </c:pt>
                <c:pt idx="61">
                  <c:v>6.1999999999999998E-3</c:v>
                </c:pt>
                <c:pt idx="62">
                  <c:v>6.3E-3</c:v>
                </c:pt>
                <c:pt idx="63">
                  <c:v>6.4000000000000003E-3</c:v>
                </c:pt>
                <c:pt idx="64">
                  <c:v>6.5000000000000006E-3</c:v>
                </c:pt>
                <c:pt idx="65">
                  <c:v>6.6E-3</c:v>
                </c:pt>
                <c:pt idx="66">
                  <c:v>6.7000000000000002E-3</c:v>
                </c:pt>
                <c:pt idx="67">
                  <c:v>6.8000000000000005E-3</c:v>
                </c:pt>
                <c:pt idx="68">
                  <c:v>6.8999999999999999E-3</c:v>
                </c:pt>
                <c:pt idx="69">
                  <c:v>6.9999999999999993E-3</c:v>
                </c:pt>
                <c:pt idx="70">
                  <c:v>7.0999999999999995E-3</c:v>
                </c:pt>
                <c:pt idx="71">
                  <c:v>7.1999999999999998E-3</c:v>
                </c:pt>
                <c:pt idx="72">
                  <c:v>7.3000000000000001E-3</c:v>
                </c:pt>
                <c:pt idx="73">
                  <c:v>7.4000000000000003E-3</c:v>
                </c:pt>
                <c:pt idx="74">
                  <c:v>7.4999999999999997E-3</c:v>
                </c:pt>
                <c:pt idx="75">
                  <c:v>7.6E-3</c:v>
                </c:pt>
                <c:pt idx="76">
                  <c:v>7.7000000000000002E-3</c:v>
                </c:pt>
                <c:pt idx="77">
                  <c:v>7.8000000000000005E-3</c:v>
                </c:pt>
                <c:pt idx="78">
                  <c:v>7.9000000000000008E-3</c:v>
                </c:pt>
                <c:pt idx="79">
                  <c:v>8.0000000000000002E-3</c:v>
                </c:pt>
                <c:pt idx="80">
                  <c:v>8.1000000000000013E-3</c:v>
                </c:pt>
                <c:pt idx="81">
                  <c:v>8.199999999999999E-3</c:v>
                </c:pt>
                <c:pt idx="82">
                  <c:v>8.3000000000000001E-3</c:v>
                </c:pt>
                <c:pt idx="83">
                  <c:v>8.3999999999999995E-3</c:v>
                </c:pt>
                <c:pt idx="84">
                  <c:v>8.5000000000000006E-3</c:v>
                </c:pt>
                <c:pt idx="85">
                  <c:v>8.6E-3</c:v>
                </c:pt>
                <c:pt idx="86">
                  <c:v>8.6999999999999994E-3</c:v>
                </c:pt>
                <c:pt idx="87">
                  <c:v>8.8000000000000005E-3</c:v>
                </c:pt>
                <c:pt idx="88">
                  <c:v>8.8999999999999999E-3</c:v>
                </c:pt>
                <c:pt idx="89">
                  <c:v>9.0000000000000011E-3</c:v>
                </c:pt>
                <c:pt idx="90">
                  <c:v>9.1000000000000004E-3</c:v>
                </c:pt>
                <c:pt idx="91">
                  <c:v>9.1999999999999998E-3</c:v>
                </c:pt>
                <c:pt idx="92">
                  <c:v>9.300000000000001E-3</c:v>
                </c:pt>
                <c:pt idx="93">
                  <c:v>9.3999999999999986E-3</c:v>
                </c:pt>
                <c:pt idx="94">
                  <c:v>9.4999999999999998E-3</c:v>
                </c:pt>
                <c:pt idx="95">
                  <c:v>9.5999999999999992E-3</c:v>
                </c:pt>
                <c:pt idx="96">
                  <c:v>9.7000000000000003E-3</c:v>
                </c:pt>
                <c:pt idx="97">
                  <c:v>9.7999999999999997E-3</c:v>
                </c:pt>
                <c:pt idx="98">
                  <c:v>9.8999999999999991E-3</c:v>
                </c:pt>
                <c:pt idx="99">
                  <c:v>0.01</c:v>
                </c:pt>
              </c:numCache>
            </c:numRef>
          </c:xVal>
          <c:yVal>
            <c:numRef>
              <c:f>'NCP1623 design tool'!$AV$58:$AV$157</c:f>
              <c:numCache>
                <c:formatCode>General</c:formatCode>
                <c:ptCount val="100"/>
                <c:pt idx="0">
                  <c:v>147.72703488829947</c:v>
                </c:pt>
                <c:pt idx="1">
                  <c:v>147.04063576402302</c:v>
                </c:pt>
                <c:pt idx="2">
                  <c:v>146.342206865957</c:v>
                </c:pt>
                <c:pt idx="3">
                  <c:v>145.63208072967134</c:v>
                </c:pt>
                <c:pt idx="4">
                  <c:v>144.91062760855158</c:v>
                </c:pt>
                <c:pt idx="5">
                  <c:v>144.17825800794412</c:v>
                </c:pt>
                <c:pt idx="6">
                  <c:v>143.43542528500541</c:v>
                </c:pt>
                <c:pt idx="7">
                  <c:v>142.68262830162314</c:v>
                </c:pt>
                <c:pt idx="8">
                  <c:v>141.92041411497027</c:v>
                </c:pt>
                <c:pt idx="9">
                  <c:v>141.1493806871415</c:v>
                </c:pt>
                <c:pt idx="10">
                  <c:v>140.370179591903</c:v>
                </c:pt>
                <c:pt idx="11">
                  <c:v>139.58351869286989</c:v>
                </c:pt>
                <c:pt idx="12">
                  <c:v>138.79016476341937</c:v>
                </c:pt>
                <c:pt idx="13">
                  <c:v>137.99094601438281</c:v>
                </c:pt>
                <c:pt idx="14">
                  <c:v>137.18675449107778</c:v>
                </c:pt>
                <c:pt idx="15">
                  <c:v>136.37854829659071</c:v>
                </c:pt>
                <c:pt idx="16">
                  <c:v>135.56735359349025</c:v>
                </c:pt>
                <c:pt idx="17">
                  <c:v>134.75426633142425</c:v>
                </c:pt>
                <c:pt idx="18">
                  <c:v>133.94045364346175</c:v>
                </c:pt>
                <c:pt idx="19">
                  <c:v>133.12715484972301</c:v>
                </c:pt>
                <c:pt idx="20">
                  <c:v>132.31568200297036</c:v>
                </c:pt>
                <c:pt idx="21">
                  <c:v>131.50741990761063</c:v>
                </c:pt>
                <c:pt idx="22">
                  <c:v>130.70382554120371</c:v>
                </c:pt>
                <c:pt idx="23">
                  <c:v>129.90642680633528</c:v>
                </c:pt>
                <c:pt idx="24">
                  <c:v>129.11682054084818</c:v>
                </c:pt>
                <c:pt idx="25">
                  <c:v>128.33666971622048</c:v>
                </c:pt>
                <c:pt idx="26">
                  <c:v>127.56769975759659</c:v>
                </c:pt>
                <c:pt idx="27">
                  <c:v>126.81169392488943</c:v>
                </c:pt>
                <c:pt idx="28">
                  <c:v>126.07048770271361</c:v>
                </c:pt>
                <c:pt idx="29">
                  <c:v>125.34596215788045</c:v>
                </c:pt>
                <c:pt idx="30">
                  <c:v>124.64003623691549</c:v>
                </c:pt>
                <c:pt idx="31">
                  <c:v>123.95465799260536</c:v>
                </c:pt>
                <c:pt idx="32">
                  <c:v>123.29179474788694</c:v>
                </c:pt>
                <c:pt idx="33">
                  <c:v>122.65342222728637</c:v>
                </c:pt>
                <c:pt idx="34">
                  <c:v>122.0415127102863</c:v>
                </c:pt>
                <c:pt idx="35">
                  <c:v>121.4580222869802</c:v>
                </c:pt>
                <c:pt idx="36">
                  <c:v>120.90487732354373</c:v>
                </c:pt>
                <c:pt idx="37">
                  <c:v>120.38396027264476</c:v>
                </c:pt>
                <c:pt idx="38">
                  <c:v>119.89709499100995</c:v>
                </c:pt>
                <c:pt idx="39">
                  <c:v>119.44603175194953</c:v>
                </c:pt>
                <c:pt idx="40">
                  <c:v>119.03243216361116</c:v>
                </c:pt>
                <c:pt idx="41">
                  <c:v>118.65785422296342</c:v>
                </c:pt>
                <c:pt idx="42">
                  <c:v>118.32373774990906</c:v>
                </c:pt>
                <c:pt idx="43">
                  <c:v>118.03139045449687</c:v>
                </c:pt>
                <c:pt idx="44">
                  <c:v>117.7819748921075</c:v>
                </c:pt>
                <c:pt idx="45">
                  <c:v>117.57649655612227</c:v>
                </c:pt>
                <c:pt idx="46">
                  <c:v>117.41579334462583</c:v>
                </c:pt>
                <c:pt idx="47">
                  <c:v>117.30052661714321</c:v>
                </c:pt>
                <c:pt idx="48">
                  <c:v>117.23117402962782</c:v>
                </c:pt>
                <c:pt idx="49">
                  <c:v>117.20802430160977</c:v>
                </c:pt>
                <c:pt idx="50">
                  <c:v>117.23117402962782</c:v>
                </c:pt>
                <c:pt idx="51">
                  <c:v>117.30052661714321</c:v>
                </c:pt>
                <c:pt idx="52">
                  <c:v>117.41579334462583</c:v>
                </c:pt>
                <c:pt idx="53">
                  <c:v>117.57649655612227</c:v>
                </c:pt>
                <c:pt idx="54">
                  <c:v>117.7819748921075</c:v>
                </c:pt>
                <c:pt idx="55">
                  <c:v>118.03139045449687</c:v>
                </c:pt>
                <c:pt idx="56">
                  <c:v>118.32373774990906</c:v>
                </c:pt>
                <c:pt idx="57">
                  <c:v>118.65785422296341</c:v>
                </c:pt>
                <c:pt idx="58">
                  <c:v>119.03243216361116</c:v>
                </c:pt>
                <c:pt idx="59">
                  <c:v>119.44603175194953</c:v>
                </c:pt>
                <c:pt idx="60">
                  <c:v>119.89709499100995</c:v>
                </c:pt>
                <c:pt idx="61">
                  <c:v>120.38396027264479</c:v>
                </c:pt>
                <c:pt idx="62">
                  <c:v>120.90487732354373</c:v>
                </c:pt>
                <c:pt idx="63">
                  <c:v>121.4580222869802</c:v>
                </c:pt>
                <c:pt idx="64">
                  <c:v>122.0415127102863</c:v>
                </c:pt>
                <c:pt idx="65">
                  <c:v>122.65342222728637</c:v>
                </c:pt>
                <c:pt idx="66">
                  <c:v>123.29179474788694</c:v>
                </c:pt>
                <c:pt idx="67">
                  <c:v>123.95465799260536</c:v>
                </c:pt>
                <c:pt idx="68">
                  <c:v>124.64003623691549</c:v>
                </c:pt>
                <c:pt idx="69">
                  <c:v>125.34596215788045</c:v>
                </c:pt>
                <c:pt idx="70">
                  <c:v>126.07048770271361</c:v>
                </c:pt>
                <c:pt idx="71">
                  <c:v>126.81169392488943</c:v>
                </c:pt>
                <c:pt idx="72">
                  <c:v>127.56769975759659</c:v>
                </c:pt>
                <c:pt idx="73">
                  <c:v>128.33666971622048</c:v>
                </c:pt>
                <c:pt idx="74">
                  <c:v>129.11682054084818</c:v>
                </c:pt>
                <c:pt idx="75">
                  <c:v>129.9064268063353</c:v>
                </c:pt>
                <c:pt idx="76">
                  <c:v>130.70382554120371</c:v>
                </c:pt>
                <c:pt idx="77">
                  <c:v>131.50741990761063</c:v>
                </c:pt>
                <c:pt idx="78">
                  <c:v>132.31568200297036</c:v>
                </c:pt>
                <c:pt idx="79">
                  <c:v>133.12715484972301</c:v>
                </c:pt>
                <c:pt idx="80">
                  <c:v>133.94045364346175</c:v>
                </c:pt>
                <c:pt idx="81">
                  <c:v>134.75426633142425</c:v>
                </c:pt>
                <c:pt idx="82">
                  <c:v>135.56735359349025</c:v>
                </c:pt>
                <c:pt idx="83">
                  <c:v>136.37854829659071</c:v>
                </c:pt>
                <c:pt idx="84">
                  <c:v>137.18675449107778</c:v>
                </c:pt>
                <c:pt idx="85">
                  <c:v>137.99094601438281</c:v>
                </c:pt>
                <c:pt idx="86">
                  <c:v>138.79016476341937</c:v>
                </c:pt>
                <c:pt idx="87">
                  <c:v>139.58351869286989</c:v>
                </c:pt>
                <c:pt idx="88">
                  <c:v>140.370179591903</c:v>
                </c:pt>
                <c:pt idx="89">
                  <c:v>141.1493806871415</c:v>
                </c:pt>
                <c:pt idx="90">
                  <c:v>141.92041411497027</c:v>
                </c:pt>
                <c:pt idx="91">
                  <c:v>142.68262830162314</c:v>
                </c:pt>
                <c:pt idx="92">
                  <c:v>143.43542528500541</c:v>
                </c:pt>
                <c:pt idx="93">
                  <c:v>144.17825800794412</c:v>
                </c:pt>
                <c:pt idx="94">
                  <c:v>144.91062760855158</c:v>
                </c:pt>
                <c:pt idx="95">
                  <c:v>145.63208072967132</c:v>
                </c:pt>
                <c:pt idx="96">
                  <c:v>146.342206865957</c:v>
                </c:pt>
                <c:pt idx="97">
                  <c:v>147.04063576402302</c:v>
                </c:pt>
                <c:pt idx="98">
                  <c:v>147.72703488829944</c:v>
                </c:pt>
                <c:pt idx="99">
                  <c:v>148.40110696271049</c:v>
                </c:pt>
              </c:numCache>
            </c:numRef>
          </c:yVal>
          <c:smooth val="1"/>
          <c:extLst>
            <c:ext xmlns:c16="http://schemas.microsoft.com/office/drawing/2014/chart" uri="{C3380CC4-5D6E-409C-BE32-E72D297353CC}">
              <c16:uniqueId val="{00000004-9B64-4B48-BCC2-AFCFEEEBBFB4}"/>
            </c:ext>
          </c:extLst>
        </c:ser>
        <c:dLbls>
          <c:showLegendKey val="0"/>
          <c:showVal val="0"/>
          <c:showCatName val="0"/>
          <c:showSerName val="0"/>
          <c:showPercent val="0"/>
          <c:showBubbleSize val="0"/>
        </c:dLbls>
        <c:axId val="1216666840"/>
        <c:axId val="1216662576"/>
      </c:scatterChart>
      <c:scatterChart>
        <c:scatterStyle val="smoothMarker"/>
        <c:varyColors val="0"/>
        <c:ser>
          <c:idx val="0"/>
          <c:order val="0"/>
          <c:tx>
            <c:strRef>
              <c:f>'NCP1623 design tool'!$AJ$57</c:f>
              <c:strCache>
                <c:ptCount val="1"/>
                <c:pt idx="0">
                  <c:v>Vin</c:v>
                </c:pt>
              </c:strCache>
            </c:strRef>
          </c:tx>
          <c:spPr>
            <a:ln w="19050" cap="rnd">
              <a:solidFill>
                <a:schemeClr val="accent1"/>
              </a:solidFill>
              <a:round/>
            </a:ln>
            <a:effectLst/>
          </c:spPr>
          <c:marker>
            <c:symbol val="none"/>
          </c:marker>
          <c:xVal>
            <c:numRef>
              <c:f>'NCP1623 design tool'!$AI$58:$AI$157</c:f>
              <c:numCache>
                <c:formatCode>General</c:formatCode>
                <c:ptCount val="100"/>
                <c:pt idx="0">
                  <c:v>1E-4</c:v>
                </c:pt>
                <c:pt idx="1">
                  <c:v>2.0000000000000001E-4</c:v>
                </c:pt>
                <c:pt idx="2">
                  <c:v>2.9999999999999997E-4</c:v>
                </c:pt>
                <c:pt idx="3">
                  <c:v>4.0000000000000002E-4</c:v>
                </c:pt>
                <c:pt idx="4">
                  <c:v>5.0000000000000001E-4</c:v>
                </c:pt>
                <c:pt idx="5">
                  <c:v>5.9999999999999995E-4</c:v>
                </c:pt>
                <c:pt idx="6">
                  <c:v>7.000000000000001E-4</c:v>
                </c:pt>
                <c:pt idx="7">
                  <c:v>8.0000000000000004E-4</c:v>
                </c:pt>
                <c:pt idx="8">
                  <c:v>8.9999999999999998E-4</c:v>
                </c:pt>
                <c:pt idx="9">
                  <c:v>1E-3</c:v>
                </c:pt>
                <c:pt idx="10">
                  <c:v>1.1000000000000001E-3</c:v>
                </c:pt>
                <c:pt idx="11">
                  <c:v>1.1999999999999999E-3</c:v>
                </c:pt>
                <c:pt idx="12">
                  <c:v>1.2999999999999999E-3</c:v>
                </c:pt>
                <c:pt idx="13">
                  <c:v>1.4000000000000002E-3</c:v>
                </c:pt>
                <c:pt idx="14">
                  <c:v>1.5E-3</c:v>
                </c:pt>
                <c:pt idx="15">
                  <c:v>1.6000000000000001E-3</c:v>
                </c:pt>
                <c:pt idx="16">
                  <c:v>1.7000000000000001E-3</c:v>
                </c:pt>
                <c:pt idx="17">
                  <c:v>1.8E-3</c:v>
                </c:pt>
                <c:pt idx="18">
                  <c:v>1.9E-3</c:v>
                </c:pt>
                <c:pt idx="19">
                  <c:v>2E-3</c:v>
                </c:pt>
                <c:pt idx="20">
                  <c:v>2.0999999999999999E-3</c:v>
                </c:pt>
                <c:pt idx="21">
                  <c:v>2.2000000000000001E-3</c:v>
                </c:pt>
                <c:pt idx="22">
                  <c:v>2.3E-3</c:v>
                </c:pt>
                <c:pt idx="23">
                  <c:v>2.3999999999999998E-3</c:v>
                </c:pt>
                <c:pt idx="24">
                  <c:v>2.5000000000000001E-3</c:v>
                </c:pt>
                <c:pt idx="25">
                  <c:v>2.5999999999999999E-3</c:v>
                </c:pt>
                <c:pt idx="26">
                  <c:v>2.7000000000000001E-3</c:v>
                </c:pt>
                <c:pt idx="27">
                  <c:v>2.8000000000000004E-3</c:v>
                </c:pt>
                <c:pt idx="28">
                  <c:v>2.8999999999999998E-3</c:v>
                </c:pt>
                <c:pt idx="29">
                  <c:v>3.0000000000000001E-3</c:v>
                </c:pt>
                <c:pt idx="30">
                  <c:v>3.0999999999999999E-3</c:v>
                </c:pt>
                <c:pt idx="31">
                  <c:v>3.2000000000000002E-3</c:v>
                </c:pt>
                <c:pt idx="32">
                  <c:v>3.3E-3</c:v>
                </c:pt>
                <c:pt idx="33">
                  <c:v>3.4000000000000002E-3</c:v>
                </c:pt>
                <c:pt idx="34">
                  <c:v>3.4999999999999996E-3</c:v>
                </c:pt>
                <c:pt idx="35">
                  <c:v>3.5999999999999999E-3</c:v>
                </c:pt>
                <c:pt idx="36">
                  <c:v>3.7000000000000002E-3</c:v>
                </c:pt>
                <c:pt idx="37">
                  <c:v>3.8E-3</c:v>
                </c:pt>
                <c:pt idx="38">
                  <c:v>3.9000000000000003E-3</c:v>
                </c:pt>
                <c:pt idx="39">
                  <c:v>4.0000000000000001E-3</c:v>
                </c:pt>
                <c:pt idx="40">
                  <c:v>4.0999999999999995E-3</c:v>
                </c:pt>
                <c:pt idx="41">
                  <c:v>4.1999999999999997E-3</c:v>
                </c:pt>
                <c:pt idx="42">
                  <c:v>4.3E-3</c:v>
                </c:pt>
                <c:pt idx="43">
                  <c:v>4.4000000000000003E-3</c:v>
                </c:pt>
                <c:pt idx="44">
                  <c:v>4.5000000000000005E-3</c:v>
                </c:pt>
                <c:pt idx="45">
                  <c:v>4.5999999999999999E-3</c:v>
                </c:pt>
                <c:pt idx="46">
                  <c:v>4.6999999999999993E-3</c:v>
                </c:pt>
                <c:pt idx="47">
                  <c:v>4.7999999999999996E-3</c:v>
                </c:pt>
                <c:pt idx="48">
                  <c:v>4.8999999999999998E-3</c:v>
                </c:pt>
                <c:pt idx="49">
                  <c:v>5.0000000000000001E-3</c:v>
                </c:pt>
                <c:pt idx="50">
                  <c:v>5.1000000000000004E-3</c:v>
                </c:pt>
                <c:pt idx="51">
                  <c:v>5.1999999999999998E-3</c:v>
                </c:pt>
                <c:pt idx="52">
                  <c:v>5.3E-3</c:v>
                </c:pt>
                <c:pt idx="53">
                  <c:v>5.4000000000000003E-3</c:v>
                </c:pt>
                <c:pt idx="54">
                  <c:v>5.5000000000000005E-3</c:v>
                </c:pt>
                <c:pt idx="55">
                  <c:v>5.6000000000000008E-3</c:v>
                </c:pt>
                <c:pt idx="56">
                  <c:v>5.6999999999999993E-3</c:v>
                </c:pt>
                <c:pt idx="57">
                  <c:v>5.7999999999999996E-3</c:v>
                </c:pt>
                <c:pt idx="58">
                  <c:v>5.8999999999999999E-3</c:v>
                </c:pt>
                <c:pt idx="59">
                  <c:v>6.0000000000000001E-3</c:v>
                </c:pt>
                <c:pt idx="60">
                  <c:v>6.0999999999999995E-3</c:v>
                </c:pt>
                <c:pt idx="61">
                  <c:v>6.1999999999999998E-3</c:v>
                </c:pt>
                <c:pt idx="62">
                  <c:v>6.3E-3</c:v>
                </c:pt>
                <c:pt idx="63">
                  <c:v>6.4000000000000003E-3</c:v>
                </c:pt>
                <c:pt idx="64">
                  <c:v>6.5000000000000006E-3</c:v>
                </c:pt>
                <c:pt idx="65">
                  <c:v>6.6E-3</c:v>
                </c:pt>
                <c:pt idx="66">
                  <c:v>6.7000000000000002E-3</c:v>
                </c:pt>
                <c:pt idx="67">
                  <c:v>6.8000000000000005E-3</c:v>
                </c:pt>
                <c:pt idx="68">
                  <c:v>6.8999999999999999E-3</c:v>
                </c:pt>
                <c:pt idx="69">
                  <c:v>6.9999999999999993E-3</c:v>
                </c:pt>
                <c:pt idx="70">
                  <c:v>7.0999999999999995E-3</c:v>
                </c:pt>
                <c:pt idx="71">
                  <c:v>7.1999999999999998E-3</c:v>
                </c:pt>
                <c:pt idx="72">
                  <c:v>7.3000000000000001E-3</c:v>
                </c:pt>
                <c:pt idx="73">
                  <c:v>7.4000000000000003E-3</c:v>
                </c:pt>
                <c:pt idx="74">
                  <c:v>7.4999999999999997E-3</c:v>
                </c:pt>
                <c:pt idx="75">
                  <c:v>7.6E-3</c:v>
                </c:pt>
                <c:pt idx="76">
                  <c:v>7.7000000000000002E-3</c:v>
                </c:pt>
                <c:pt idx="77">
                  <c:v>7.8000000000000005E-3</c:v>
                </c:pt>
                <c:pt idx="78">
                  <c:v>7.9000000000000008E-3</c:v>
                </c:pt>
                <c:pt idx="79">
                  <c:v>8.0000000000000002E-3</c:v>
                </c:pt>
                <c:pt idx="80">
                  <c:v>8.1000000000000013E-3</c:v>
                </c:pt>
                <c:pt idx="81">
                  <c:v>8.199999999999999E-3</c:v>
                </c:pt>
                <c:pt idx="82">
                  <c:v>8.3000000000000001E-3</c:v>
                </c:pt>
                <c:pt idx="83">
                  <c:v>8.3999999999999995E-3</c:v>
                </c:pt>
                <c:pt idx="84">
                  <c:v>8.5000000000000006E-3</c:v>
                </c:pt>
                <c:pt idx="85">
                  <c:v>8.6E-3</c:v>
                </c:pt>
                <c:pt idx="86">
                  <c:v>8.6999999999999994E-3</c:v>
                </c:pt>
                <c:pt idx="87">
                  <c:v>8.8000000000000005E-3</c:v>
                </c:pt>
                <c:pt idx="88">
                  <c:v>8.8999999999999999E-3</c:v>
                </c:pt>
                <c:pt idx="89">
                  <c:v>9.0000000000000011E-3</c:v>
                </c:pt>
                <c:pt idx="90">
                  <c:v>9.1000000000000004E-3</c:v>
                </c:pt>
                <c:pt idx="91">
                  <c:v>9.1999999999999998E-3</c:v>
                </c:pt>
                <c:pt idx="92">
                  <c:v>9.300000000000001E-3</c:v>
                </c:pt>
                <c:pt idx="93">
                  <c:v>9.3999999999999986E-3</c:v>
                </c:pt>
                <c:pt idx="94">
                  <c:v>9.4999999999999998E-3</c:v>
                </c:pt>
                <c:pt idx="95">
                  <c:v>9.5999999999999992E-3</c:v>
                </c:pt>
                <c:pt idx="96">
                  <c:v>9.7000000000000003E-3</c:v>
                </c:pt>
                <c:pt idx="97">
                  <c:v>9.7999999999999997E-3</c:v>
                </c:pt>
                <c:pt idx="98">
                  <c:v>9.8999999999999991E-3</c:v>
                </c:pt>
                <c:pt idx="99">
                  <c:v>0.01</c:v>
                </c:pt>
              </c:numCache>
            </c:numRef>
          </c:xVal>
          <c:yVal>
            <c:numRef>
              <c:f>'NCP1623 design tool'!$AJ$58:$AJ$157</c:f>
              <c:numCache>
                <c:formatCode>General</c:formatCode>
                <c:ptCount val="100"/>
                <c:pt idx="0">
                  <c:v>3.9979369343450561</c:v>
                </c:pt>
                <c:pt idx="1">
                  <c:v>7.9919283876126901</c:v>
                </c:pt>
                <c:pt idx="2">
                  <c:v>11.978032772438956</c:v>
                </c:pt>
                <c:pt idx="3">
                  <c:v>15.952316285044251</c:v>
                </c:pt>
                <c:pt idx="4">
                  <c:v>19.910856787422688</c:v>
                </c:pt>
                <c:pt idx="5">
                  <c:v>23.849747678018808</c:v>
                </c:pt>
                <c:pt idx="6">
                  <c:v>27.765101747071665</c:v>
                </c:pt>
                <c:pt idx="7">
                  <c:v>31.653055012821511</c:v>
                </c:pt>
                <c:pt idx="8">
                  <c:v>35.509770534793354</c:v>
                </c:pt>
                <c:pt idx="9">
                  <c:v>39.331442200393894</c:v>
                </c:pt>
                <c:pt idx="10">
                  <c:v>43.114298481085228</c:v>
                </c:pt>
                <c:pt idx="11">
                  <c:v>46.854606154428048</c:v>
                </c:pt>
                <c:pt idx="12">
                  <c:v>50.54867398832161</c:v>
                </c:pt>
                <c:pt idx="13">
                  <c:v>54.192856383804077</c:v>
                </c:pt>
                <c:pt idx="14">
                  <c:v>57.783556972818559</c:v>
                </c:pt>
                <c:pt idx="15">
                  <c:v>61.317232167394252</c:v>
                </c:pt>
                <c:pt idx="16">
                  <c:v>64.790394656739878</c:v>
                </c:pt>
                <c:pt idx="17">
                  <c:v>68.199616848798442</c:v>
                </c:pt>
                <c:pt idx="18">
                  <c:v>71.541534252866768</c:v>
                </c:pt>
                <c:pt idx="19">
                  <c:v>74.812848799941619</c:v>
                </c:pt>
                <c:pt idx="20">
                  <c:v>78.010332097515629</c:v>
                </c:pt>
                <c:pt idx="21">
                  <c:v>81.130828615610923</c:v>
                </c:pt>
                <c:pt idx="22">
                  <c:v>84.17125880090623</c:v>
                </c:pt>
                <c:pt idx="23">
                  <c:v>87.128622115884284</c:v>
                </c:pt>
                <c:pt idx="24">
                  <c:v>90</c:v>
                </c:pt>
                <c:pt idx="25">
                  <c:v>92.782558749947398</c:v>
                </c:pt>
                <c:pt idx="26">
                  <c:v>95.473552316182648</c:v>
                </c:pt>
                <c:pt idx="27">
                  <c:v>98.070325012943499</c:v>
                </c:pt>
                <c:pt idx="28">
                  <c:v>100.57031413909039</c:v>
                </c:pt>
                <c:pt idx="29">
                  <c:v>102.97105250718317</c:v>
                </c:pt>
                <c:pt idx="30">
                  <c:v>105.27017087829721</c:v>
                </c:pt>
                <c:pt idx="31">
                  <c:v>107.4654003001761</c:v>
                </c:pt>
                <c:pt idx="32">
                  <c:v>109.55457434641373</c:v>
                </c:pt>
                <c:pt idx="33">
                  <c:v>111.53563125445552</c:v>
                </c:pt>
                <c:pt idx="34">
                  <c:v>113.40661596030908</c:v>
                </c:pt>
                <c:pt idx="35">
                  <c:v>115.16568202795652</c:v>
                </c:pt>
                <c:pt idx="36">
                  <c:v>116.81109347156365</c:v>
                </c:pt>
                <c:pt idx="37">
                  <c:v>118.34122646868857</c:v>
                </c:pt>
                <c:pt idx="38">
                  <c:v>119.75457096279831</c:v>
                </c:pt>
                <c:pt idx="39">
                  <c:v>121.04973215351232</c:v>
                </c:pt>
                <c:pt idx="40">
                  <c:v>122.22543187310208</c:v>
                </c:pt>
                <c:pt idx="41">
                  <c:v>123.28050984788834</c:v>
                </c:pt>
                <c:pt idx="42">
                  <c:v>124.21392484329107</c:v>
                </c:pt>
                <c:pt idx="43">
                  <c:v>125.02475569140233</c:v>
                </c:pt>
                <c:pt idx="44">
                  <c:v>125.71220220006786</c:v>
                </c:pt>
                <c:pt idx="45">
                  <c:v>126.27558594258002</c:v>
                </c:pt>
                <c:pt idx="46">
                  <c:v>126.71435092720311</c:v>
                </c:pt>
                <c:pt idx="47">
                  <c:v>127.02806414587003</c:v>
                </c:pt>
                <c:pt idx="48">
                  <c:v>127.21641600150903</c:v>
                </c:pt>
                <c:pt idx="49">
                  <c:v>127.27922061357856</c:v>
                </c:pt>
                <c:pt idx="50">
                  <c:v>127.21641600150903</c:v>
                </c:pt>
                <c:pt idx="51">
                  <c:v>127.02806414587003</c:v>
                </c:pt>
                <c:pt idx="52">
                  <c:v>126.71435092720311</c:v>
                </c:pt>
                <c:pt idx="53">
                  <c:v>126.27558594258001</c:v>
                </c:pt>
                <c:pt idx="54">
                  <c:v>125.71220220006785</c:v>
                </c:pt>
                <c:pt idx="55">
                  <c:v>125.02475569140232</c:v>
                </c:pt>
                <c:pt idx="56">
                  <c:v>124.21392484329107</c:v>
                </c:pt>
                <c:pt idx="57">
                  <c:v>123.28050984788835</c:v>
                </c:pt>
                <c:pt idx="58">
                  <c:v>122.2254318731021</c:v>
                </c:pt>
                <c:pt idx="59">
                  <c:v>121.04973215351232</c:v>
                </c:pt>
                <c:pt idx="60">
                  <c:v>119.7545709627983</c:v>
                </c:pt>
                <c:pt idx="61">
                  <c:v>118.34122646868856</c:v>
                </c:pt>
                <c:pt idx="62">
                  <c:v>116.81109347156365</c:v>
                </c:pt>
                <c:pt idx="63">
                  <c:v>115.16568202795651</c:v>
                </c:pt>
                <c:pt idx="64">
                  <c:v>113.40661596030907</c:v>
                </c:pt>
                <c:pt idx="65">
                  <c:v>111.5356312544555</c:v>
                </c:pt>
                <c:pt idx="66">
                  <c:v>109.55457434641373</c:v>
                </c:pt>
                <c:pt idx="67">
                  <c:v>107.46540030017609</c:v>
                </c:pt>
                <c:pt idx="68">
                  <c:v>105.27017087829719</c:v>
                </c:pt>
                <c:pt idx="69">
                  <c:v>102.97105250718317</c:v>
                </c:pt>
                <c:pt idx="70">
                  <c:v>100.57031413909041</c:v>
                </c:pt>
                <c:pt idx="71">
                  <c:v>98.070325012943499</c:v>
                </c:pt>
                <c:pt idx="72">
                  <c:v>95.473552316182662</c:v>
                </c:pt>
                <c:pt idx="73">
                  <c:v>92.782558749947384</c:v>
                </c:pt>
                <c:pt idx="74">
                  <c:v>90.000000000000014</c:v>
                </c:pt>
                <c:pt idx="75">
                  <c:v>87.128622115884269</c:v>
                </c:pt>
                <c:pt idx="76">
                  <c:v>84.17125880090623</c:v>
                </c:pt>
                <c:pt idx="77">
                  <c:v>81.130828615610895</c:v>
                </c:pt>
                <c:pt idx="78">
                  <c:v>78.010332097515615</c:v>
                </c:pt>
                <c:pt idx="79">
                  <c:v>74.812848799941634</c:v>
                </c:pt>
                <c:pt idx="80">
                  <c:v>71.541534252866711</c:v>
                </c:pt>
                <c:pt idx="81">
                  <c:v>68.199616848798485</c:v>
                </c:pt>
                <c:pt idx="82">
                  <c:v>64.790394656739849</c:v>
                </c:pt>
                <c:pt idx="83">
                  <c:v>61.317232167394238</c:v>
                </c:pt>
                <c:pt idx="84">
                  <c:v>57.783556972818516</c:v>
                </c:pt>
                <c:pt idx="85">
                  <c:v>54.192856383804049</c:v>
                </c:pt>
                <c:pt idx="86">
                  <c:v>50.54867398832161</c:v>
                </c:pt>
                <c:pt idx="87">
                  <c:v>46.854606154428026</c:v>
                </c:pt>
                <c:pt idx="88">
                  <c:v>43.114298481085214</c:v>
                </c:pt>
                <c:pt idx="89">
                  <c:v>39.331442200393859</c:v>
                </c:pt>
                <c:pt idx="90">
                  <c:v>35.509770534793333</c:v>
                </c:pt>
                <c:pt idx="91">
                  <c:v>31.653055012821515</c:v>
                </c:pt>
                <c:pt idx="92">
                  <c:v>27.765101747071633</c:v>
                </c:pt>
                <c:pt idx="93">
                  <c:v>23.849747678018861</c:v>
                </c:pt>
                <c:pt idx="94">
                  <c:v>19.910856787422702</c:v>
                </c:pt>
                <c:pt idx="95">
                  <c:v>15.952316285044287</c:v>
                </c:pt>
                <c:pt idx="96">
                  <c:v>11.978032772438961</c:v>
                </c:pt>
                <c:pt idx="97">
                  <c:v>7.9919283876127167</c:v>
                </c:pt>
                <c:pt idx="98">
                  <c:v>3.9979369343451059</c:v>
                </c:pt>
                <c:pt idx="99">
                  <c:v>1.5593594047669914E-14</c:v>
                </c:pt>
              </c:numCache>
            </c:numRef>
          </c:yVal>
          <c:smooth val="1"/>
          <c:extLst>
            <c:ext xmlns:c16="http://schemas.microsoft.com/office/drawing/2014/chart" uri="{C3380CC4-5D6E-409C-BE32-E72D297353CC}">
              <c16:uniqueId val="{00000000-9B64-4B48-BCC2-AFCFEEEBBFB4}"/>
            </c:ext>
          </c:extLst>
        </c:ser>
        <c:dLbls>
          <c:showLegendKey val="0"/>
          <c:showVal val="0"/>
          <c:showCatName val="0"/>
          <c:showSerName val="0"/>
          <c:showPercent val="0"/>
          <c:showBubbleSize val="0"/>
        </c:dLbls>
        <c:axId val="998368952"/>
        <c:axId val="998373544"/>
      </c:scatterChart>
      <c:valAx>
        <c:axId val="1216666840"/>
        <c:scaling>
          <c:orientation val="minMax"/>
          <c:max val="1.0000000000000002E-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r>
                  <a:rPr lang="en-US" altLang="ko-KR"/>
                  <a:t>Time [sec]</a:t>
                </a:r>
                <a:endParaRPr lang="ko-KR" altLang="en-US"/>
              </a:p>
            </c:rich>
          </c:tx>
          <c:layout>
            <c:manualLayout>
              <c:xMode val="edge"/>
              <c:yMode val="edge"/>
              <c:x val="0.45536811324423332"/>
              <c:y val="0.85815874811016835"/>
            </c:manualLayout>
          </c:layout>
          <c:overlay val="0"/>
          <c:spPr>
            <a:noFill/>
            <a:ln>
              <a:noFill/>
            </a:ln>
            <a:effectLst/>
          </c:spPr>
          <c:txPr>
            <a:bodyPr rot="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endParaRPr lang="ko-K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endParaRPr lang="ko-KR"/>
          </a:p>
        </c:txPr>
        <c:crossAx val="1216662576"/>
        <c:crosses val="autoZero"/>
        <c:crossBetween val="midCat"/>
      </c:valAx>
      <c:valAx>
        <c:axId val="1216662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r>
                  <a:rPr lang="en-US" altLang="ko-KR"/>
                  <a:t>Switching frequency</a:t>
                </a:r>
                <a:r>
                  <a:rPr lang="en-US" altLang="ko-KR" baseline="0"/>
                  <a:t> [kHz]</a:t>
                </a:r>
                <a:endParaRPr lang="ko-KR" altLang="en-US"/>
              </a:p>
            </c:rich>
          </c:tx>
          <c:overlay val="0"/>
          <c:spPr>
            <a:noFill/>
            <a:ln>
              <a:noFill/>
            </a:ln>
            <a:effectLst/>
          </c:spPr>
          <c:txPr>
            <a:bodyPr rot="-540000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endParaRPr lang="ko-K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endParaRPr lang="ko-KR"/>
          </a:p>
        </c:txPr>
        <c:crossAx val="1216666840"/>
        <c:crosses val="autoZero"/>
        <c:crossBetween val="midCat"/>
      </c:valAx>
      <c:valAx>
        <c:axId val="998373544"/>
        <c:scaling>
          <c:orientation val="minMax"/>
        </c:scaling>
        <c:delete val="0"/>
        <c:axPos val="r"/>
        <c:title>
          <c:tx>
            <c:rich>
              <a:bodyPr rot="-540000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r>
                  <a:rPr lang="en-US" altLang="ko-KR"/>
                  <a:t>Line</a:t>
                </a:r>
                <a:r>
                  <a:rPr lang="en-US" altLang="ko-KR" baseline="0"/>
                  <a:t> voltage [V]</a:t>
                </a:r>
                <a:endParaRPr lang="ko-KR" altLang="en-US"/>
              </a:p>
            </c:rich>
          </c:tx>
          <c:overlay val="0"/>
          <c:spPr>
            <a:noFill/>
            <a:ln>
              <a:noFill/>
            </a:ln>
            <a:effectLst/>
          </c:spPr>
          <c:txPr>
            <a:bodyPr rot="-540000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endParaRPr lang="ko-KR"/>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endParaRPr lang="ko-KR"/>
          </a:p>
        </c:txPr>
        <c:crossAx val="998368952"/>
        <c:crosses val="max"/>
        <c:crossBetween val="midCat"/>
      </c:valAx>
      <c:valAx>
        <c:axId val="998368952"/>
        <c:scaling>
          <c:orientation val="minMax"/>
        </c:scaling>
        <c:delete val="1"/>
        <c:axPos val="b"/>
        <c:numFmt formatCode="General" sourceLinked="1"/>
        <c:majorTickMark val="out"/>
        <c:minorTickMark val="none"/>
        <c:tickLblPos val="nextTo"/>
        <c:crossAx val="998373544"/>
        <c:crosses val="autoZero"/>
        <c:crossBetween val="midCat"/>
      </c:valAx>
      <c:spPr>
        <a:noFill/>
        <a:ln>
          <a:noFill/>
        </a:ln>
        <a:effectLst/>
      </c:spPr>
    </c:plotArea>
    <c:legend>
      <c:legendPos val="b"/>
      <c:layout>
        <c:manualLayout>
          <c:xMode val="edge"/>
          <c:yMode val="edge"/>
          <c:x val="0.11457332422958869"/>
          <c:y val="0.91109864001902929"/>
          <c:w val="0.82701565112213293"/>
          <c:h val="7.9291623903290517E-2"/>
        </c:manualLayout>
      </c:layout>
      <c:overlay val="0"/>
      <c:spPr>
        <a:noFill/>
        <a:ln>
          <a:noFill/>
        </a:ln>
        <a:effectLst/>
      </c:spPr>
      <c:txPr>
        <a:bodyPr rot="0" spcFirstLastPara="1" vertOverflow="ellipsis" vert="horz" wrap="square" anchor="ctr" anchorCtr="1"/>
        <a:lstStyle/>
        <a:p>
          <a:pPr>
            <a:defRPr lang="en-US" altLang="ko-KR" sz="1000" b="0" i="0" u="none" strike="noStrike" kern="1200" baseline="0">
              <a:solidFill>
                <a:schemeClr val="tx1"/>
              </a:solidFill>
              <a:latin typeface="+mn-lt"/>
              <a:ea typeface="+mn-ea"/>
              <a:cs typeface="+mn-cs"/>
            </a:defRPr>
          </a:pPr>
          <a:endParaRPr lang="ko-K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accent5">
          <a:lumMod val="50000"/>
        </a:schemeClr>
      </a:solidFill>
      <a:round/>
    </a:ln>
    <a:effectLst/>
  </c:spPr>
  <c:txPr>
    <a:bodyPr/>
    <a:lstStyle/>
    <a:p>
      <a:pPr>
        <a:defRPr lang="en-US" altLang="ko-KR" sz="1000" b="0" i="0" u="none" strike="noStrike" kern="1200" baseline="0">
          <a:solidFill>
            <a:schemeClr val="tx1"/>
          </a:solidFill>
          <a:latin typeface="+mn-lt"/>
          <a:ea typeface="+mn-ea"/>
          <a:cs typeface="+mn-cs"/>
        </a:defRPr>
      </a:pPr>
      <a:endParaRPr lang="ko-K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36772098402954"/>
          <c:y val="4.4911050722482818E-2"/>
          <c:w val="0.76184038435873469"/>
          <c:h val="0.76593659151165072"/>
        </c:manualLayout>
      </c:layout>
      <c:scatterChart>
        <c:scatterStyle val="smoothMarker"/>
        <c:varyColors val="0"/>
        <c:ser>
          <c:idx val="1"/>
          <c:order val="1"/>
          <c:tx>
            <c:strRef>
              <c:f>'NCP1623 design tool'!$BD$57</c:f>
              <c:strCache>
                <c:ptCount val="1"/>
                <c:pt idx="0">
                  <c:v>fsw [kHz]</c:v>
                </c:pt>
              </c:strCache>
            </c:strRef>
          </c:tx>
          <c:spPr>
            <a:ln w="19050" cap="rnd">
              <a:solidFill>
                <a:schemeClr val="accent2"/>
              </a:solidFill>
              <a:round/>
            </a:ln>
            <a:effectLst/>
          </c:spPr>
          <c:marker>
            <c:symbol val="none"/>
          </c:marker>
          <c:xVal>
            <c:numRef>
              <c:f>'NCP1623 design tool'!$AX$58:$AX$157</c:f>
              <c:numCache>
                <c:formatCode>General</c:formatCode>
                <c:ptCount val="100"/>
                <c:pt idx="0">
                  <c:v>100</c:v>
                </c:pt>
                <c:pt idx="1">
                  <c:v>99</c:v>
                </c:pt>
                <c:pt idx="2">
                  <c:v>98</c:v>
                </c:pt>
                <c:pt idx="3">
                  <c:v>97</c:v>
                </c:pt>
                <c:pt idx="4">
                  <c:v>96</c:v>
                </c:pt>
                <c:pt idx="5">
                  <c:v>95</c:v>
                </c:pt>
                <c:pt idx="6">
                  <c:v>94</c:v>
                </c:pt>
                <c:pt idx="7">
                  <c:v>93</c:v>
                </c:pt>
                <c:pt idx="8">
                  <c:v>92</c:v>
                </c:pt>
                <c:pt idx="9">
                  <c:v>91</c:v>
                </c:pt>
                <c:pt idx="10">
                  <c:v>90</c:v>
                </c:pt>
                <c:pt idx="11">
                  <c:v>89</c:v>
                </c:pt>
                <c:pt idx="12">
                  <c:v>88</c:v>
                </c:pt>
                <c:pt idx="13">
                  <c:v>87</c:v>
                </c:pt>
                <c:pt idx="14">
                  <c:v>86</c:v>
                </c:pt>
                <c:pt idx="15">
                  <c:v>85</c:v>
                </c:pt>
                <c:pt idx="16">
                  <c:v>84</c:v>
                </c:pt>
                <c:pt idx="17">
                  <c:v>83</c:v>
                </c:pt>
                <c:pt idx="18">
                  <c:v>82</c:v>
                </c:pt>
                <c:pt idx="19">
                  <c:v>81</c:v>
                </c:pt>
                <c:pt idx="20">
                  <c:v>80</c:v>
                </c:pt>
                <c:pt idx="21">
                  <c:v>79</c:v>
                </c:pt>
                <c:pt idx="22">
                  <c:v>78</c:v>
                </c:pt>
                <c:pt idx="23">
                  <c:v>77</c:v>
                </c:pt>
                <c:pt idx="24">
                  <c:v>76</c:v>
                </c:pt>
                <c:pt idx="25">
                  <c:v>75</c:v>
                </c:pt>
                <c:pt idx="26">
                  <c:v>74</c:v>
                </c:pt>
                <c:pt idx="27">
                  <c:v>73</c:v>
                </c:pt>
                <c:pt idx="28">
                  <c:v>72</c:v>
                </c:pt>
                <c:pt idx="29">
                  <c:v>71</c:v>
                </c:pt>
                <c:pt idx="30">
                  <c:v>70</c:v>
                </c:pt>
                <c:pt idx="31">
                  <c:v>69</c:v>
                </c:pt>
                <c:pt idx="32">
                  <c:v>68</c:v>
                </c:pt>
                <c:pt idx="33">
                  <c:v>67</c:v>
                </c:pt>
                <c:pt idx="34">
                  <c:v>66</c:v>
                </c:pt>
                <c:pt idx="35">
                  <c:v>65</c:v>
                </c:pt>
                <c:pt idx="36">
                  <c:v>64</c:v>
                </c:pt>
                <c:pt idx="37">
                  <c:v>63</c:v>
                </c:pt>
                <c:pt idx="38">
                  <c:v>62</c:v>
                </c:pt>
                <c:pt idx="39">
                  <c:v>61</c:v>
                </c:pt>
                <c:pt idx="40">
                  <c:v>60</c:v>
                </c:pt>
                <c:pt idx="41">
                  <c:v>59</c:v>
                </c:pt>
                <c:pt idx="42">
                  <c:v>58</c:v>
                </c:pt>
                <c:pt idx="43">
                  <c:v>57</c:v>
                </c:pt>
                <c:pt idx="44">
                  <c:v>56</c:v>
                </c:pt>
                <c:pt idx="45">
                  <c:v>55</c:v>
                </c:pt>
                <c:pt idx="46">
                  <c:v>54</c:v>
                </c:pt>
                <c:pt idx="47">
                  <c:v>53</c:v>
                </c:pt>
                <c:pt idx="48">
                  <c:v>52</c:v>
                </c:pt>
                <c:pt idx="49">
                  <c:v>51</c:v>
                </c:pt>
                <c:pt idx="50">
                  <c:v>50</c:v>
                </c:pt>
                <c:pt idx="51">
                  <c:v>49</c:v>
                </c:pt>
                <c:pt idx="52">
                  <c:v>48</c:v>
                </c:pt>
                <c:pt idx="53">
                  <c:v>47</c:v>
                </c:pt>
                <c:pt idx="54">
                  <c:v>46</c:v>
                </c:pt>
                <c:pt idx="55">
                  <c:v>45</c:v>
                </c:pt>
                <c:pt idx="56">
                  <c:v>44</c:v>
                </c:pt>
                <c:pt idx="57">
                  <c:v>43</c:v>
                </c:pt>
                <c:pt idx="58">
                  <c:v>42</c:v>
                </c:pt>
                <c:pt idx="59">
                  <c:v>41</c:v>
                </c:pt>
                <c:pt idx="60">
                  <c:v>40</c:v>
                </c:pt>
                <c:pt idx="61">
                  <c:v>39</c:v>
                </c:pt>
                <c:pt idx="62">
                  <c:v>38</c:v>
                </c:pt>
                <c:pt idx="63">
                  <c:v>37</c:v>
                </c:pt>
                <c:pt idx="64">
                  <c:v>36</c:v>
                </c:pt>
                <c:pt idx="65">
                  <c:v>35</c:v>
                </c:pt>
                <c:pt idx="66">
                  <c:v>34</c:v>
                </c:pt>
                <c:pt idx="67">
                  <c:v>33</c:v>
                </c:pt>
                <c:pt idx="68">
                  <c:v>32</c:v>
                </c:pt>
                <c:pt idx="69">
                  <c:v>31</c:v>
                </c:pt>
                <c:pt idx="70">
                  <c:v>30</c:v>
                </c:pt>
                <c:pt idx="71">
                  <c:v>29</c:v>
                </c:pt>
                <c:pt idx="72">
                  <c:v>28</c:v>
                </c:pt>
                <c:pt idx="73">
                  <c:v>27</c:v>
                </c:pt>
                <c:pt idx="74">
                  <c:v>26</c:v>
                </c:pt>
                <c:pt idx="75">
                  <c:v>25</c:v>
                </c:pt>
                <c:pt idx="76">
                  <c:v>24</c:v>
                </c:pt>
                <c:pt idx="77">
                  <c:v>23</c:v>
                </c:pt>
                <c:pt idx="78">
                  <c:v>22</c:v>
                </c:pt>
                <c:pt idx="79">
                  <c:v>21</c:v>
                </c:pt>
                <c:pt idx="80">
                  <c:v>20</c:v>
                </c:pt>
                <c:pt idx="81">
                  <c:v>19</c:v>
                </c:pt>
                <c:pt idx="82">
                  <c:v>18</c:v>
                </c:pt>
                <c:pt idx="83">
                  <c:v>17</c:v>
                </c:pt>
                <c:pt idx="84">
                  <c:v>16</c:v>
                </c:pt>
                <c:pt idx="85">
                  <c:v>15</c:v>
                </c:pt>
                <c:pt idx="86">
                  <c:v>14</c:v>
                </c:pt>
                <c:pt idx="87">
                  <c:v>13</c:v>
                </c:pt>
                <c:pt idx="88">
                  <c:v>12</c:v>
                </c:pt>
                <c:pt idx="89">
                  <c:v>11</c:v>
                </c:pt>
                <c:pt idx="90">
                  <c:v>10</c:v>
                </c:pt>
                <c:pt idx="91">
                  <c:v>9</c:v>
                </c:pt>
                <c:pt idx="92">
                  <c:v>8</c:v>
                </c:pt>
                <c:pt idx="93">
                  <c:v>7</c:v>
                </c:pt>
                <c:pt idx="94">
                  <c:v>6</c:v>
                </c:pt>
                <c:pt idx="95">
                  <c:v>5</c:v>
                </c:pt>
                <c:pt idx="96">
                  <c:v>4</c:v>
                </c:pt>
                <c:pt idx="97">
                  <c:v>3</c:v>
                </c:pt>
                <c:pt idx="98">
                  <c:v>2</c:v>
                </c:pt>
                <c:pt idx="99">
                  <c:v>1</c:v>
                </c:pt>
              </c:numCache>
            </c:numRef>
          </c:xVal>
          <c:yVal>
            <c:numRef>
              <c:f>'NCP1623 design tool'!$BD$58:$BD$157</c:f>
              <c:numCache>
                <c:formatCode>General</c:formatCode>
                <c:ptCount val="100"/>
                <c:pt idx="0">
                  <c:v>94.433639737851294</c:v>
                </c:pt>
                <c:pt idx="1">
                  <c:v>95.387514886718478</c:v>
                </c:pt>
                <c:pt idx="2">
                  <c:v>96.360856875358451</c:v>
                </c:pt>
                <c:pt idx="3">
                  <c:v>97.354267770980712</c:v>
                </c:pt>
                <c:pt idx="4">
                  <c:v>98.368374726928408</c:v>
                </c:pt>
                <c:pt idx="5">
                  <c:v>99.403831303001397</c:v>
                </c:pt>
                <c:pt idx="6">
                  <c:v>100.46131887005457</c:v>
                </c:pt>
                <c:pt idx="7">
                  <c:v>101.54154810521645</c:v>
                </c:pt>
                <c:pt idx="8">
                  <c:v>102.64526058462097</c:v>
                </c:pt>
                <c:pt idx="9">
                  <c:v>103.77323048115528</c:v>
                </c:pt>
                <c:pt idx="10">
                  <c:v>104.9262663753903</c:v>
                </c:pt>
                <c:pt idx="11">
                  <c:v>106.10521318859693</c:v>
                </c:pt>
                <c:pt idx="12">
                  <c:v>107.3109542475583</c:v>
                </c:pt>
                <c:pt idx="13">
                  <c:v>108.43714832367515</c:v>
                </c:pt>
                <c:pt idx="14">
                  <c:v>109.27310819602489</c:v>
                </c:pt>
                <c:pt idx="15">
                  <c:v>110.11284888904278</c:v>
                </c:pt>
                <c:pt idx="16">
                  <c:v>110.9559645924291</c:v>
                </c:pt>
                <c:pt idx="17">
                  <c:v>111.80201550179575</c:v>
                </c:pt>
                <c:pt idx="18">
                  <c:v>112.65052583417348</c:v>
                </c:pt>
                <c:pt idx="19">
                  <c:v>113.50098175863178</c:v>
                </c:pt>
                <c:pt idx="20">
                  <c:v>114.35282924135969</c:v>
                </c:pt>
                <c:pt idx="21">
                  <c:v>115.20547180495291</c:v>
                </c:pt>
                <c:pt idx="22">
                  <c:v>116.05826820210267</c:v>
                </c:pt>
                <c:pt idx="23">
                  <c:v>116.91053000439079</c:v>
                </c:pt>
                <c:pt idx="24">
                  <c:v>117.76151910746368</c:v>
                </c:pt>
                <c:pt idx="25">
                  <c:v>118.61044515449045</c:v>
                </c:pt>
                <c:pt idx="26">
                  <c:v>119.45646288051029</c:v>
                </c:pt>
                <c:pt idx="27">
                  <c:v>120.29866938103999</c:v>
                </c:pt>
                <c:pt idx="28">
                  <c:v>121.13610130915268</c:v>
                </c:pt>
                <c:pt idx="29">
                  <c:v>121.96773200614535</c:v>
                </c:pt>
                <c:pt idx="30">
                  <c:v>122.7924685718958</c:v>
                </c:pt>
                <c:pt idx="31">
                  <c:v>123.60914888205869</c:v>
                </c:pt>
                <c:pt idx="32">
                  <c:v>124.41653856037121</c:v>
                </c:pt>
                <c:pt idx="33">
                  <c:v>125.21332791552344</c:v>
                </c:pt>
                <c:pt idx="34">
                  <c:v>125.99812885329412</c:v>
                </c:pt>
                <c:pt idx="35">
                  <c:v>126.7694717759527</c:v>
                </c:pt>
                <c:pt idx="36">
                  <c:v>127.52580248227443</c:v>
                </c:pt>
                <c:pt idx="37">
                  <c:v>128.2654790828976</c:v>
                </c:pt>
                <c:pt idx="38">
                  <c:v>128.98676894715885</c:v>
                </c:pt>
                <c:pt idx="39">
                  <c:v>129.68784569895948</c:v>
                </c:pt>
                <c:pt idx="40">
                  <c:v>130.36678628062543</c:v>
                </c:pt>
                <c:pt idx="41">
                  <c:v>131.02156810511002</c:v>
                </c:pt>
                <c:pt idx="42">
                  <c:v>131.65006631822936</c:v>
                </c:pt>
                <c:pt idx="43">
                  <c:v>132.25005119389226</c:v>
                </c:pt>
                <c:pt idx="44">
                  <c:v>132.81918568646674</c:v>
                </c:pt>
                <c:pt idx="45">
                  <c:v>133.35502316548516</c:v>
                </c:pt>
                <c:pt idx="46">
                  <c:v>133.85500535880428</c:v>
                </c:pt>
                <c:pt idx="47">
                  <c:v>134.31646053107423</c:v>
                </c:pt>
                <c:pt idx="48">
                  <c:v>134.73660192490226</c:v>
                </c:pt>
                <c:pt idx="49">
                  <c:v>135.11252649239688</c:v>
                </c:pt>
                <c:pt idx="50">
                  <c:v>135.44121394481016</c:v>
                </c:pt>
                <c:pt idx="51">
                  <c:v>135.71952614774247</c:v>
                </c:pt>
                <c:pt idx="52">
                  <c:v>135.94420688879876</c:v>
                </c:pt>
                <c:pt idx="53">
                  <c:v>136.11188204367585</c:v>
                </c:pt>
                <c:pt idx="54">
                  <c:v>136.21906016539054</c:v>
                </c:pt>
                <c:pt idx="55">
                  <c:v>136.26213351971779</c:v>
                </c:pt>
                <c:pt idx="56">
                  <c:v>136.23737958788655</c:v>
                </c:pt>
                <c:pt idx="57">
                  <c:v>136.1409630551762</c:v>
                </c:pt>
                <c:pt idx="58">
                  <c:v>135.96893830127289</c:v>
                </c:pt>
                <c:pt idx="59">
                  <c:v>135.71725240509303</c:v>
                </c:pt>
                <c:pt idx="60">
                  <c:v>135.38174867328161</c:v>
                </c:pt>
                <c:pt idx="61">
                  <c:v>134.95817069777178</c:v>
                </c:pt>
                <c:pt idx="62">
                  <c:v>134.44216694368623</c:v>
                </c:pt>
                <c:pt idx="63">
                  <c:v>133.82929586451147</c:v>
                </c:pt>
                <c:pt idx="64">
                  <c:v>133.11503153693661</c:v>
                </c:pt>
                <c:pt idx="65">
                  <c:v>132.29476980307376</c:v>
                </c:pt>
                <c:pt idx="66">
                  <c:v>131.36383490303177</c:v>
                </c:pt>
                <c:pt idx="67">
                  <c:v>130.31748657606911</c:v>
                </c:pt>
                <c:pt idx="68">
                  <c:v>129.15092760387034</c:v>
                </c:pt>
                <c:pt idx="69">
                  <c:v>127.85931176495694</c:v>
                </c:pt>
                <c:pt idx="70">
                  <c:v>126.43775216491801</c:v>
                </c:pt>
                <c:pt idx="71">
                  <c:v>124.88132990311475</c:v>
                </c:pt>
                <c:pt idx="72">
                  <c:v>123.18510303283169</c:v>
                </c:pt>
                <c:pt idx="73">
                  <c:v>121.34411576858754</c:v>
                </c:pt>
                <c:pt idx="74">
                  <c:v>119.35340789153392</c:v>
                </c:pt>
                <c:pt idx="75">
                  <c:v>117.20802430160977</c:v>
                </c:pt>
                <c:pt idx="76">
                  <c:v>114.90302466342168</c:v>
                </c:pt>
                <c:pt idx="77">
                  <c:v>112.43349309171643</c:v>
                </c:pt>
                <c:pt idx="78">
                  <c:v>109.79454782181678</c:v>
                </c:pt>
                <c:pt idx="79">
                  <c:v>106.98135081051376</c:v>
                </c:pt>
                <c:pt idx="80">
                  <c:v>103.98911721364121</c:v>
                </c:pt>
                <c:pt idx="81">
                  <c:v>100.81312468788587</c:v>
                </c:pt>
                <c:pt idx="82">
                  <c:v>97.448722466280117</c:v>
                </c:pt>
                <c:pt idx="83">
                  <c:v>93.891340159248003</c:v>
                </c:pt>
                <c:pt idx="84">
                  <c:v>90.136496235981937</c:v>
                </c:pt>
                <c:pt idx="85">
                  <c:v>86.17980614426439</c:v>
                </c:pt>
                <c:pt idx="86">
                  <c:v>82.016990030554012</c:v>
                </c:pt>
                <c:pt idx="87">
                  <c:v>77.643880026167793</c:v>
                </c:pt>
                <c:pt idx="88">
                  <c:v>73.05642706964025</c:v>
                </c:pt>
                <c:pt idx="89">
                  <c:v>68.250707239759549</c:v>
                </c:pt>
                <c:pt idx="90">
                  <c:v>0</c:v>
                </c:pt>
                <c:pt idx="91">
                  <c:v>0</c:v>
                </c:pt>
                <c:pt idx="92">
                  <c:v>0</c:v>
                </c:pt>
                <c:pt idx="93">
                  <c:v>0</c:v>
                </c:pt>
                <c:pt idx="94">
                  <c:v>0</c:v>
                </c:pt>
                <c:pt idx="95">
                  <c:v>0</c:v>
                </c:pt>
                <c:pt idx="96">
                  <c:v>0</c:v>
                </c:pt>
                <c:pt idx="97">
                  <c:v>0</c:v>
                </c:pt>
                <c:pt idx="98">
                  <c:v>0</c:v>
                </c:pt>
                <c:pt idx="99">
                  <c:v>0</c:v>
                </c:pt>
              </c:numCache>
            </c:numRef>
          </c:yVal>
          <c:smooth val="1"/>
          <c:extLst>
            <c:ext xmlns:c16="http://schemas.microsoft.com/office/drawing/2014/chart" uri="{C3380CC4-5D6E-409C-BE32-E72D297353CC}">
              <c16:uniqueId val="{00000000-1F3B-4566-9347-683CE81E833C}"/>
            </c:ext>
          </c:extLst>
        </c:ser>
        <c:dLbls>
          <c:showLegendKey val="0"/>
          <c:showVal val="0"/>
          <c:showCatName val="0"/>
          <c:showSerName val="0"/>
          <c:showPercent val="0"/>
          <c:showBubbleSize val="0"/>
        </c:dLbls>
        <c:axId val="1101621664"/>
        <c:axId val="1101619696"/>
      </c:scatterChart>
      <c:scatterChart>
        <c:scatterStyle val="smoothMarker"/>
        <c:varyColors val="0"/>
        <c:ser>
          <c:idx val="0"/>
          <c:order val="0"/>
          <c:tx>
            <c:strRef>
              <c:f>'NCP1623 design tool'!$AY$57</c:f>
              <c:strCache>
                <c:ptCount val="1"/>
                <c:pt idx="0">
                  <c:v>Vctrl [V]</c:v>
                </c:pt>
              </c:strCache>
            </c:strRef>
          </c:tx>
          <c:spPr>
            <a:ln w="19050" cap="rnd">
              <a:solidFill>
                <a:schemeClr val="accent1"/>
              </a:solidFill>
              <a:round/>
            </a:ln>
            <a:effectLst/>
          </c:spPr>
          <c:marker>
            <c:symbol val="none"/>
          </c:marker>
          <c:xVal>
            <c:numRef>
              <c:f>'NCP1623 design tool'!$AX$58:$AX$157</c:f>
              <c:numCache>
                <c:formatCode>General</c:formatCode>
                <c:ptCount val="100"/>
                <c:pt idx="0">
                  <c:v>100</c:v>
                </c:pt>
                <c:pt idx="1">
                  <c:v>99</c:v>
                </c:pt>
                <c:pt idx="2">
                  <c:v>98</c:v>
                </c:pt>
                <c:pt idx="3">
                  <c:v>97</c:v>
                </c:pt>
                <c:pt idx="4">
                  <c:v>96</c:v>
                </c:pt>
                <c:pt idx="5">
                  <c:v>95</c:v>
                </c:pt>
                <c:pt idx="6">
                  <c:v>94</c:v>
                </c:pt>
                <c:pt idx="7">
                  <c:v>93</c:v>
                </c:pt>
                <c:pt idx="8">
                  <c:v>92</c:v>
                </c:pt>
                <c:pt idx="9">
                  <c:v>91</c:v>
                </c:pt>
                <c:pt idx="10">
                  <c:v>90</c:v>
                </c:pt>
                <c:pt idx="11">
                  <c:v>89</c:v>
                </c:pt>
                <c:pt idx="12">
                  <c:v>88</c:v>
                </c:pt>
                <c:pt idx="13">
                  <c:v>87</c:v>
                </c:pt>
                <c:pt idx="14">
                  <c:v>86</c:v>
                </c:pt>
                <c:pt idx="15">
                  <c:v>85</c:v>
                </c:pt>
                <c:pt idx="16">
                  <c:v>84</c:v>
                </c:pt>
                <c:pt idx="17">
                  <c:v>83</c:v>
                </c:pt>
                <c:pt idx="18">
                  <c:v>82</c:v>
                </c:pt>
                <c:pt idx="19">
                  <c:v>81</c:v>
                </c:pt>
                <c:pt idx="20">
                  <c:v>80</c:v>
                </c:pt>
                <c:pt idx="21">
                  <c:v>79</c:v>
                </c:pt>
                <c:pt idx="22">
                  <c:v>78</c:v>
                </c:pt>
                <c:pt idx="23">
                  <c:v>77</c:v>
                </c:pt>
                <c:pt idx="24">
                  <c:v>76</c:v>
                </c:pt>
                <c:pt idx="25">
                  <c:v>75</c:v>
                </c:pt>
                <c:pt idx="26">
                  <c:v>74</c:v>
                </c:pt>
                <c:pt idx="27">
                  <c:v>73</c:v>
                </c:pt>
                <c:pt idx="28">
                  <c:v>72</c:v>
                </c:pt>
                <c:pt idx="29">
                  <c:v>71</c:v>
                </c:pt>
                <c:pt idx="30">
                  <c:v>70</c:v>
                </c:pt>
                <c:pt idx="31">
                  <c:v>69</c:v>
                </c:pt>
                <c:pt idx="32">
                  <c:v>68</c:v>
                </c:pt>
                <c:pt idx="33">
                  <c:v>67</c:v>
                </c:pt>
                <c:pt idx="34">
                  <c:v>66</c:v>
                </c:pt>
                <c:pt idx="35">
                  <c:v>65</c:v>
                </c:pt>
                <c:pt idx="36">
                  <c:v>64</c:v>
                </c:pt>
                <c:pt idx="37">
                  <c:v>63</c:v>
                </c:pt>
                <c:pt idx="38">
                  <c:v>62</c:v>
                </c:pt>
                <c:pt idx="39">
                  <c:v>61</c:v>
                </c:pt>
                <c:pt idx="40">
                  <c:v>60</c:v>
                </c:pt>
                <c:pt idx="41">
                  <c:v>59</c:v>
                </c:pt>
                <c:pt idx="42">
                  <c:v>58</c:v>
                </c:pt>
                <c:pt idx="43">
                  <c:v>57</c:v>
                </c:pt>
                <c:pt idx="44">
                  <c:v>56</c:v>
                </c:pt>
                <c:pt idx="45">
                  <c:v>55</c:v>
                </c:pt>
                <c:pt idx="46">
                  <c:v>54</c:v>
                </c:pt>
                <c:pt idx="47">
                  <c:v>53</c:v>
                </c:pt>
                <c:pt idx="48">
                  <c:v>52</c:v>
                </c:pt>
                <c:pt idx="49">
                  <c:v>51</c:v>
                </c:pt>
                <c:pt idx="50">
                  <c:v>50</c:v>
                </c:pt>
                <c:pt idx="51">
                  <c:v>49</c:v>
                </c:pt>
                <c:pt idx="52">
                  <c:v>48</c:v>
                </c:pt>
                <c:pt idx="53">
                  <c:v>47</c:v>
                </c:pt>
                <c:pt idx="54">
                  <c:v>46</c:v>
                </c:pt>
                <c:pt idx="55">
                  <c:v>45</c:v>
                </c:pt>
                <c:pt idx="56">
                  <c:v>44</c:v>
                </c:pt>
                <c:pt idx="57">
                  <c:v>43</c:v>
                </c:pt>
                <c:pt idx="58">
                  <c:v>42</c:v>
                </c:pt>
                <c:pt idx="59">
                  <c:v>41</c:v>
                </c:pt>
                <c:pt idx="60">
                  <c:v>40</c:v>
                </c:pt>
                <c:pt idx="61">
                  <c:v>39</c:v>
                </c:pt>
                <c:pt idx="62">
                  <c:v>38</c:v>
                </c:pt>
                <c:pt idx="63">
                  <c:v>37</c:v>
                </c:pt>
                <c:pt idx="64">
                  <c:v>36</c:v>
                </c:pt>
                <c:pt idx="65">
                  <c:v>35</c:v>
                </c:pt>
                <c:pt idx="66">
                  <c:v>34</c:v>
                </c:pt>
                <c:pt idx="67">
                  <c:v>33</c:v>
                </c:pt>
                <c:pt idx="68">
                  <c:v>32</c:v>
                </c:pt>
                <c:pt idx="69">
                  <c:v>31</c:v>
                </c:pt>
                <c:pt idx="70">
                  <c:v>30</c:v>
                </c:pt>
                <c:pt idx="71">
                  <c:v>29</c:v>
                </c:pt>
                <c:pt idx="72">
                  <c:v>28</c:v>
                </c:pt>
                <c:pt idx="73">
                  <c:v>27</c:v>
                </c:pt>
                <c:pt idx="74">
                  <c:v>26</c:v>
                </c:pt>
                <c:pt idx="75">
                  <c:v>25</c:v>
                </c:pt>
                <c:pt idx="76">
                  <c:v>24</c:v>
                </c:pt>
                <c:pt idx="77">
                  <c:v>23</c:v>
                </c:pt>
                <c:pt idx="78">
                  <c:v>22</c:v>
                </c:pt>
                <c:pt idx="79">
                  <c:v>21</c:v>
                </c:pt>
                <c:pt idx="80">
                  <c:v>20</c:v>
                </c:pt>
                <c:pt idx="81">
                  <c:v>19</c:v>
                </c:pt>
                <c:pt idx="82">
                  <c:v>18</c:v>
                </c:pt>
                <c:pt idx="83">
                  <c:v>17</c:v>
                </c:pt>
                <c:pt idx="84">
                  <c:v>16</c:v>
                </c:pt>
                <c:pt idx="85">
                  <c:v>15</c:v>
                </c:pt>
                <c:pt idx="86">
                  <c:v>14</c:v>
                </c:pt>
                <c:pt idx="87">
                  <c:v>13</c:v>
                </c:pt>
                <c:pt idx="88">
                  <c:v>12</c:v>
                </c:pt>
                <c:pt idx="89">
                  <c:v>11</c:v>
                </c:pt>
                <c:pt idx="90">
                  <c:v>10</c:v>
                </c:pt>
                <c:pt idx="91">
                  <c:v>9</c:v>
                </c:pt>
                <c:pt idx="92">
                  <c:v>8</c:v>
                </c:pt>
                <c:pt idx="93">
                  <c:v>7</c:v>
                </c:pt>
                <c:pt idx="94">
                  <c:v>6</c:v>
                </c:pt>
                <c:pt idx="95">
                  <c:v>5</c:v>
                </c:pt>
                <c:pt idx="96">
                  <c:v>4</c:v>
                </c:pt>
                <c:pt idx="97">
                  <c:v>3</c:v>
                </c:pt>
                <c:pt idx="98">
                  <c:v>2</c:v>
                </c:pt>
                <c:pt idx="99">
                  <c:v>1</c:v>
                </c:pt>
              </c:numCache>
            </c:numRef>
          </c:xVal>
          <c:yVal>
            <c:numRef>
              <c:f>'NCP1623 design tool'!$AY$58:$AY$157</c:f>
              <c:numCache>
                <c:formatCode>General</c:formatCode>
                <c:ptCount val="100"/>
                <c:pt idx="0">
                  <c:v>2.4252520876952328</c:v>
                </c:pt>
                <c:pt idx="1">
                  <c:v>2.4059995668182808</c:v>
                </c:pt>
                <c:pt idx="2">
                  <c:v>2.3867470459413282</c:v>
                </c:pt>
                <c:pt idx="3">
                  <c:v>2.3674945250643757</c:v>
                </c:pt>
                <c:pt idx="4">
                  <c:v>2.3482420041874237</c:v>
                </c:pt>
                <c:pt idx="5">
                  <c:v>2.3289894833104707</c:v>
                </c:pt>
                <c:pt idx="6">
                  <c:v>2.3097369624335187</c:v>
                </c:pt>
                <c:pt idx="7">
                  <c:v>2.2904844415565666</c:v>
                </c:pt>
                <c:pt idx="8">
                  <c:v>2.2712319206796141</c:v>
                </c:pt>
                <c:pt idx="9">
                  <c:v>2.2519793998026616</c:v>
                </c:pt>
                <c:pt idx="10">
                  <c:v>2.2327268789257095</c:v>
                </c:pt>
                <c:pt idx="11">
                  <c:v>2.2134743580487575</c:v>
                </c:pt>
                <c:pt idx="12">
                  <c:v>2.1942218371718045</c:v>
                </c:pt>
                <c:pt idx="13">
                  <c:v>2.1749693162948525</c:v>
                </c:pt>
                <c:pt idx="14">
                  <c:v>2.1557167954179004</c:v>
                </c:pt>
                <c:pt idx="15">
                  <c:v>2.1364642745409479</c:v>
                </c:pt>
                <c:pt idx="16">
                  <c:v>2.1172117536639954</c:v>
                </c:pt>
                <c:pt idx="17">
                  <c:v>2.0979592327870433</c:v>
                </c:pt>
                <c:pt idx="18">
                  <c:v>2.0787067119100904</c:v>
                </c:pt>
                <c:pt idx="19">
                  <c:v>2.0594541910331383</c:v>
                </c:pt>
                <c:pt idx="20">
                  <c:v>2.0402016701561863</c:v>
                </c:pt>
                <c:pt idx="21">
                  <c:v>2.0209491492792342</c:v>
                </c:pt>
                <c:pt idx="22">
                  <c:v>2.0016966284022812</c:v>
                </c:pt>
                <c:pt idx="23">
                  <c:v>1.9824441075253292</c:v>
                </c:pt>
                <c:pt idx="24">
                  <c:v>1.9631915866483769</c:v>
                </c:pt>
                <c:pt idx="25">
                  <c:v>1.9439390657714244</c:v>
                </c:pt>
                <c:pt idx="26">
                  <c:v>1.9246865448944721</c:v>
                </c:pt>
                <c:pt idx="27">
                  <c:v>1.9054340240175198</c:v>
                </c:pt>
                <c:pt idx="28">
                  <c:v>1.8861815031405673</c:v>
                </c:pt>
                <c:pt idx="29">
                  <c:v>1.8669289822636153</c:v>
                </c:pt>
                <c:pt idx="30">
                  <c:v>1.847676461386663</c:v>
                </c:pt>
                <c:pt idx="31">
                  <c:v>1.8284239405097107</c:v>
                </c:pt>
                <c:pt idx="32">
                  <c:v>1.8091714196327584</c:v>
                </c:pt>
                <c:pt idx="33">
                  <c:v>1.7899188987558059</c:v>
                </c:pt>
                <c:pt idx="34">
                  <c:v>1.7706663778788536</c:v>
                </c:pt>
                <c:pt idx="35">
                  <c:v>1.7514138570019011</c:v>
                </c:pt>
                <c:pt idx="36">
                  <c:v>1.7321613361249488</c:v>
                </c:pt>
                <c:pt idx="37">
                  <c:v>1.7129088152479965</c:v>
                </c:pt>
                <c:pt idx="38">
                  <c:v>1.693656294371044</c:v>
                </c:pt>
                <c:pt idx="39">
                  <c:v>1.674403773494092</c:v>
                </c:pt>
                <c:pt idx="40">
                  <c:v>1.6551512526171395</c:v>
                </c:pt>
                <c:pt idx="41">
                  <c:v>1.6358987317401874</c:v>
                </c:pt>
                <c:pt idx="42">
                  <c:v>1.6166462108632349</c:v>
                </c:pt>
                <c:pt idx="43">
                  <c:v>1.5973936899862826</c:v>
                </c:pt>
                <c:pt idx="44">
                  <c:v>1.5781411691093303</c:v>
                </c:pt>
                <c:pt idx="45">
                  <c:v>1.5588886482323778</c:v>
                </c:pt>
                <c:pt idx="46">
                  <c:v>1.5396361273554258</c:v>
                </c:pt>
                <c:pt idx="47">
                  <c:v>1.5203836064784735</c:v>
                </c:pt>
                <c:pt idx="48">
                  <c:v>1.501131085601521</c:v>
                </c:pt>
                <c:pt idx="49">
                  <c:v>1.4818785647245685</c:v>
                </c:pt>
                <c:pt idx="50">
                  <c:v>1.4626260438476164</c:v>
                </c:pt>
                <c:pt idx="51">
                  <c:v>1.4433735229706641</c:v>
                </c:pt>
                <c:pt idx="52">
                  <c:v>1.4241210020937118</c:v>
                </c:pt>
                <c:pt idx="53">
                  <c:v>1.4048684812167593</c:v>
                </c:pt>
                <c:pt idx="54">
                  <c:v>1.3856159603398071</c:v>
                </c:pt>
                <c:pt idx="55">
                  <c:v>1.3663634394628548</c:v>
                </c:pt>
                <c:pt idx="56">
                  <c:v>1.3471109185859023</c:v>
                </c:pt>
                <c:pt idx="57">
                  <c:v>1.3278583977089502</c:v>
                </c:pt>
                <c:pt idx="58">
                  <c:v>1.3086058768319977</c:v>
                </c:pt>
                <c:pt idx="59">
                  <c:v>1.2893533559550452</c:v>
                </c:pt>
                <c:pt idx="60">
                  <c:v>1.2701008350780931</c:v>
                </c:pt>
                <c:pt idx="61">
                  <c:v>1.2508483142011406</c:v>
                </c:pt>
                <c:pt idx="62">
                  <c:v>1.2315957933241886</c:v>
                </c:pt>
                <c:pt idx="63">
                  <c:v>1.2123432724472361</c:v>
                </c:pt>
                <c:pt idx="64">
                  <c:v>1.1930907515702835</c:v>
                </c:pt>
                <c:pt idx="65">
                  <c:v>1.1738382306933315</c:v>
                </c:pt>
                <c:pt idx="66">
                  <c:v>1.1545857098163792</c:v>
                </c:pt>
                <c:pt idx="67">
                  <c:v>1.1353331889394269</c:v>
                </c:pt>
                <c:pt idx="68">
                  <c:v>1.1160806680624744</c:v>
                </c:pt>
                <c:pt idx="69">
                  <c:v>1.0968281471855219</c:v>
                </c:pt>
                <c:pt idx="70">
                  <c:v>1.0775756263085698</c:v>
                </c:pt>
                <c:pt idx="71">
                  <c:v>1.0583231054316173</c:v>
                </c:pt>
                <c:pt idx="72">
                  <c:v>1.0390705845546653</c:v>
                </c:pt>
                <c:pt idx="73">
                  <c:v>1.0198180636777128</c:v>
                </c:pt>
                <c:pt idx="74">
                  <c:v>1.0005655428007605</c:v>
                </c:pt>
                <c:pt idx="75">
                  <c:v>0.9813130219238082</c:v>
                </c:pt>
                <c:pt idx="76">
                  <c:v>0.96206050104685592</c:v>
                </c:pt>
                <c:pt idx="77">
                  <c:v>0.94280798016990353</c:v>
                </c:pt>
                <c:pt idx="78">
                  <c:v>0.92355545929295113</c:v>
                </c:pt>
                <c:pt idx="79">
                  <c:v>0.90430293841599885</c:v>
                </c:pt>
                <c:pt idx="80">
                  <c:v>0.88505041753904656</c:v>
                </c:pt>
                <c:pt idx="81">
                  <c:v>0.86579789666209428</c:v>
                </c:pt>
                <c:pt idx="82">
                  <c:v>0.84654537578514177</c:v>
                </c:pt>
                <c:pt idx="83">
                  <c:v>0.8272928549081896</c:v>
                </c:pt>
                <c:pt idx="84">
                  <c:v>0.80804033403123721</c:v>
                </c:pt>
                <c:pt idx="85">
                  <c:v>0.78878781315428492</c:v>
                </c:pt>
                <c:pt idx="86">
                  <c:v>0.76953529227733264</c:v>
                </c:pt>
                <c:pt idx="87">
                  <c:v>0.75028277140038024</c:v>
                </c:pt>
                <c:pt idx="88">
                  <c:v>0.73103025052342796</c:v>
                </c:pt>
                <c:pt idx="89">
                  <c:v>0.71177772964647557</c:v>
                </c:pt>
                <c:pt idx="90">
                  <c:v>0</c:v>
                </c:pt>
                <c:pt idx="91">
                  <c:v>0</c:v>
                </c:pt>
                <c:pt idx="92">
                  <c:v>0</c:v>
                </c:pt>
                <c:pt idx="93">
                  <c:v>0</c:v>
                </c:pt>
                <c:pt idx="94">
                  <c:v>0</c:v>
                </c:pt>
                <c:pt idx="95">
                  <c:v>0</c:v>
                </c:pt>
                <c:pt idx="96">
                  <c:v>0</c:v>
                </c:pt>
                <c:pt idx="97">
                  <c:v>0</c:v>
                </c:pt>
                <c:pt idx="98">
                  <c:v>0</c:v>
                </c:pt>
                <c:pt idx="99">
                  <c:v>0</c:v>
                </c:pt>
              </c:numCache>
            </c:numRef>
          </c:yVal>
          <c:smooth val="1"/>
          <c:extLst>
            <c:ext xmlns:c16="http://schemas.microsoft.com/office/drawing/2014/chart" uri="{C3380CC4-5D6E-409C-BE32-E72D297353CC}">
              <c16:uniqueId val="{00000001-1F3B-4566-9347-683CE81E833C}"/>
            </c:ext>
          </c:extLst>
        </c:ser>
        <c:dLbls>
          <c:showLegendKey val="0"/>
          <c:showVal val="0"/>
          <c:showCatName val="0"/>
          <c:showSerName val="0"/>
          <c:showPercent val="0"/>
          <c:showBubbleSize val="0"/>
        </c:dLbls>
        <c:axId val="1164848608"/>
        <c:axId val="1164847624"/>
      </c:scatterChart>
      <c:valAx>
        <c:axId val="1101621664"/>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ko-KR"/>
                  <a:t>Load [%]</a:t>
                </a:r>
                <a:endParaRPr lang="ko-KR" altLang="en-US"/>
              </a:p>
            </c:rich>
          </c:tx>
          <c:layout>
            <c:manualLayout>
              <c:xMode val="edge"/>
              <c:yMode val="edge"/>
              <c:x val="0.44928644512656257"/>
              <c:y val="0.8725953540048473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ko-K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101619696"/>
        <c:crosses val="autoZero"/>
        <c:crossBetween val="midCat"/>
        <c:majorUnit val="10"/>
      </c:valAx>
      <c:valAx>
        <c:axId val="110161969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ko-KR"/>
                  <a:t>Switching</a:t>
                </a:r>
                <a:r>
                  <a:rPr lang="en-US" altLang="ko-KR" baseline="0"/>
                  <a:t> frequency at peak Vin [kHz]</a:t>
                </a:r>
                <a:endParaRPr lang="ko-KR"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ko-K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101621664"/>
        <c:crosses val="autoZero"/>
        <c:crossBetween val="midCat"/>
      </c:valAx>
      <c:valAx>
        <c:axId val="1164847624"/>
        <c:scaling>
          <c:orientation val="minMax"/>
          <c:max val="4.5"/>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ko-KR"/>
                  <a:t>VCTRL [V]</a:t>
                </a:r>
                <a:endParaRPr lang="ko-KR"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ko-KR"/>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crossAx val="1164848608"/>
        <c:crosses val="max"/>
        <c:crossBetween val="midCat"/>
      </c:valAx>
      <c:valAx>
        <c:axId val="1164848608"/>
        <c:scaling>
          <c:orientation val="minMax"/>
        </c:scaling>
        <c:delete val="1"/>
        <c:axPos val="b"/>
        <c:numFmt formatCode="General" sourceLinked="1"/>
        <c:majorTickMark val="out"/>
        <c:minorTickMark val="none"/>
        <c:tickLblPos val="nextTo"/>
        <c:crossAx val="1164847624"/>
        <c:crosses val="autoZero"/>
        <c:crossBetween val="midCat"/>
      </c:valAx>
      <c:spPr>
        <a:noFill/>
        <a:ln>
          <a:noFill/>
        </a:ln>
        <a:effectLst/>
      </c:spPr>
    </c:plotArea>
    <c:legend>
      <c:legendPos val="r"/>
      <c:layout>
        <c:manualLayout>
          <c:xMode val="edge"/>
          <c:yMode val="edge"/>
          <c:x val="0.33861537434939282"/>
          <c:y val="0.92104045755905717"/>
          <c:w val="0.34782530361670894"/>
          <c:h val="7.65538918141974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o-K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accent5">
          <a:lumMod val="50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xdr:row>
          <xdr:rowOff>28575</xdr:rowOff>
        </xdr:from>
        <xdr:to>
          <xdr:col>10</xdr:col>
          <xdr:colOff>571500</xdr:colOff>
          <xdr:row>25</xdr:row>
          <xdr:rowOff>190500</xdr:rowOff>
        </xdr:to>
        <xdr:sp macro="" textlink="">
          <xdr:nvSpPr>
            <xdr:cNvPr id="1396" name="Object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24</xdr:col>
      <xdr:colOff>4472</xdr:colOff>
      <xdr:row>1</xdr:row>
      <xdr:rowOff>12423</xdr:rowOff>
    </xdr:from>
    <xdr:to>
      <xdr:col>31</xdr:col>
      <xdr:colOff>605790</xdr:colOff>
      <xdr:row>14</xdr:row>
      <xdr:rowOff>102230</xdr:rowOff>
    </xdr:to>
    <xdr:graphicFrame macro="">
      <xdr:nvGraphicFramePr>
        <xdr:cNvPr id="9" name="차트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4241</xdr:colOff>
      <xdr:row>14</xdr:row>
      <xdr:rowOff>102943</xdr:rowOff>
    </xdr:from>
    <xdr:to>
      <xdr:col>31</xdr:col>
      <xdr:colOff>604630</xdr:colOff>
      <xdr:row>27</xdr:row>
      <xdr:rowOff>187307</xdr:rowOff>
    </xdr:to>
    <xdr:graphicFrame macro="">
      <xdr:nvGraphicFramePr>
        <xdr:cNvPr id="10" name="차트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11205</xdr:colOff>
      <xdr:row>30</xdr:row>
      <xdr:rowOff>11205</xdr:rowOff>
    </xdr:from>
    <xdr:to>
      <xdr:col>31</xdr:col>
      <xdr:colOff>593912</xdr:colOff>
      <xdr:row>44</xdr:row>
      <xdr:rowOff>204106</xdr:rowOff>
    </xdr:to>
    <xdr:graphicFrame macro="">
      <xdr:nvGraphicFramePr>
        <xdr:cNvPr id="7" name="차트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28575</xdr:colOff>
      <xdr:row>30</xdr:row>
      <xdr:rowOff>13607</xdr:rowOff>
    </xdr:from>
    <xdr:to>
      <xdr:col>22</xdr:col>
      <xdr:colOff>438150</xdr:colOff>
      <xdr:row>44</xdr:row>
      <xdr:rowOff>190500</xdr:rowOff>
    </xdr:to>
    <xdr:graphicFrame macro="">
      <xdr:nvGraphicFramePr>
        <xdr:cNvPr id="15" name="차트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66675</xdr:colOff>
      <xdr:row>29</xdr:row>
      <xdr:rowOff>171450</xdr:rowOff>
    </xdr:from>
    <xdr:to>
      <xdr:col>32</xdr:col>
      <xdr:colOff>47625</xdr:colOff>
      <xdr:row>45</xdr:row>
      <xdr:rowOff>38100</xdr:rowOff>
    </xdr:to>
    <xdr:sp macro="" textlink="">
      <xdr:nvSpPr>
        <xdr:cNvPr id="14" name="직사각형 13">
          <a:extLst>
            <a:ext uri="{FF2B5EF4-FFF2-40B4-BE49-F238E27FC236}">
              <a16:creationId xmlns:a16="http://schemas.microsoft.com/office/drawing/2014/main" id="{00000000-0008-0000-0000-00000E000000}"/>
            </a:ext>
          </a:extLst>
        </xdr:cNvPr>
        <xdr:cNvSpPr/>
      </xdr:nvSpPr>
      <xdr:spPr>
        <a:xfrm>
          <a:off x="6276975" y="6162675"/>
          <a:ext cx="11944350" cy="3219450"/>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xdr:from>
      <xdr:col>23</xdr:col>
      <xdr:colOff>66675</xdr:colOff>
      <xdr:row>0</xdr:row>
      <xdr:rowOff>85725</xdr:rowOff>
    </xdr:from>
    <xdr:to>
      <xdr:col>32</xdr:col>
      <xdr:colOff>47625</xdr:colOff>
      <xdr:row>28</xdr:row>
      <xdr:rowOff>38100</xdr:rowOff>
    </xdr:to>
    <xdr:sp macro="" textlink="">
      <xdr:nvSpPr>
        <xdr:cNvPr id="17" name="직사각형 16">
          <a:extLst>
            <a:ext uri="{FF2B5EF4-FFF2-40B4-BE49-F238E27FC236}">
              <a16:creationId xmlns:a16="http://schemas.microsoft.com/office/drawing/2014/main" id="{00000000-0008-0000-0000-000011000000}"/>
            </a:ext>
          </a:extLst>
        </xdr:cNvPr>
        <xdr:cNvSpPr/>
      </xdr:nvSpPr>
      <xdr:spPr>
        <a:xfrm>
          <a:off x="13249275" y="85725"/>
          <a:ext cx="4972050" cy="5734050"/>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pageSetUpPr fitToPage="1"/>
  </sheetPr>
  <dimension ref="A1:GL3240"/>
  <sheetViews>
    <sheetView tabSelected="1" zoomScale="85" zoomScaleNormal="85" workbookViewId="0">
      <selection activeCell="N9" sqref="N9"/>
    </sheetView>
  </sheetViews>
  <sheetFormatPr defaultRowHeight="16.5" customHeight="1" x14ac:dyDescent="0.2"/>
  <cols>
    <col min="1" max="1" width="1.7109375" style="36" customWidth="1"/>
    <col min="2" max="4" width="9.140625" style="26" customWidth="1"/>
    <col min="5" max="8" width="9.140625" style="26"/>
    <col min="9" max="11" width="9.140625" style="36"/>
    <col min="12" max="12" width="1.7109375" style="36" customWidth="1"/>
    <col min="13" max="13" width="15.7109375" style="40" customWidth="1"/>
    <col min="14" max="14" width="10.7109375" style="40" customWidth="1"/>
    <col min="15" max="15" width="6.7109375" style="40" customWidth="1"/>
    <col min="16" max="16" width="1.7109375" style="40" customWidth="1"/>
    <col min="17" max="17" width="15.7109375" style="40" customWidth="1"/>
    <col min="18" max="18" width="10.7109375" style="40" customWidth="1"/>
    <col min="19" max="19" width="6.7109375" style="40" customWidth="1"/>
    <col min="20" max="20" width="1.7109375" style="40" customWidth="1"/>
    <col min="21" max="21" width="15.7109375" style="40" customWidth="1"/>
    <col min="22" max="22" width="10.7109375" style="40" customWidth="1"/>
    <col min="23" max="23" width="6.7109375" style="40" customWidth="1"/>
    <col min="24" max="24" width="1.7109375" style="40" customWidth="1"/>
    <col min="25" max="25" width="9.140625" style="43" customWidth="1"/>
    <col min="26" max="28" width="9.140625" style="38" customWidth="1"/>
    <col min="29" max="29" width="9.28515625" style="38" bestFit="1" customWidth="1"/>
    <col min="30" max="30" width="9.140625" style="38" customWidth="1"/>
    <col min="31" max="32" width="9.28515625" style="38" bestFit="1" customWidth="1"/>
    <col min="33" max="33" width="9.140625" style="38" customWidth="1"/>
    <col min="34" max="35" width="9.28515625" style="38" bestFit="1" customWidth="1"/>
    <col min="36" max="36" width="11.28515625" style="26" bestFit="1" customWidth="1"/>
    <col min="37" max="41" width="9.140625" style="26" customWidth="1"/>
    <col min="42" max="42" width="14.42578125" style="26" bestFit="1" customWidth="1"/>
    <col min="43" max="43" width="9.140625" style="26" customWidth="1"/>
    <col min="44" max="44" width="9.140625" style="36" customWidth="1"/>
    <col min="45" max="45" width="13.28515625" style="36" bestFit="1" customWidth="1"/>
    <col min="46" max="47" width="9.140625" style="36" customWidth="1"/>
    <col min="48" max="48" width="9.28515625" style="36" bestFit="1" customWidth="1"/>
    <col min="49" max="49" width="9.140625" style="36"/>
    <col min="50" max="51" width="9.28515625" style="36" bestFit="1" customWidth="1"/>
    <col min="52" max="52" width="19" style="36" bestFit="1" customWidth="1"/>
    <col min="53" max="55" width="19" style="26" bestFit="1" customWidth="1"/>
    <col min="56" max="56" width="13.28515625" style="26" bestFit="1" customWidth="1"/>
    <col min="57" max="67" width="9.140625" style="26"/>
    <col min="68" max="16384" width="9.140625" style="36"/>
  </cols>
  <sheetData>
    <row r="1" spans="1:67" s="2" customFormat="1" ht="9.9499999999999993" customHeight="1" x14ac:dyDescent="0.2">
      <c r="B1" s="26"/>
      <c r="C1" s="26"/>
      <c r="D1" s="26"/>
      <c r="E1" s="26"/>
      <c r="F1" s="26"/>
      <c r="G1" s="26"/>
      <c r="H1" s="26"/>
      <c r="Y1" s="22"/>
      <c r="Z1" s="26"/>
      <c r="AA1" s="26"/>
      <c r="AB1" s="26"/>
      <c r="AC1" s="26"/>
      <c r="AD1" s="26"/>
      <c r="AE1" s="26"/>
      <c r="AF1" s="26"/>
      <c r="AG1" s="26"/>
      <c r="AH1" s="26"/>
      <c r="AI1" s="26"/>
      <c r="AJ1" s="26"/>
      <c r="AK1" s="26"/>
      <c r="AL1" s="26"/>
      <c r="AM1" s="26"/>
      <c r="AN1" s="26"/>
      <c r="AO1" s="26"/>
      <c r="AP1" s="26"/>
      <c r="AQ1" s="26"/>
      <c r="BA1" s="26"/>
      <c r="BB1" s="26"/>
      <c r="BC1" s="26"/>
      <c r="BD1" s="26"/>
      <c r="BE1" s="26"/>
      <c r="BF1" s="26"/>
      <c r="BG1" s="26"/>
      <c r="BH1" s="26"/>
      <c r="BI1" s="26"/>
      <c r="BJ1" s="26"/>
      <c r="BK1" s="26"/>
      <c r="BL1" s="26"/>
      <c r="BM1" s="26"/>
      <c r="BN1" s="26"/>
      <c r="BO1" s="26"/>
    </row>
    <row r="2" spans="1:67" s="2" customFormat="1" ht="16.5" customHeight="1" x14ac:dyDescent="0.2">
      <c r="A2" s="3"/>
      <c r="B2" s="26"/>
      <c r="C2" s="26"/>
      <c r="D2" s="26"/>
      <c r="E2" s="26"/>
      <c r="F2" s="26"/>
      <c r="G2" s="26"/>
      <c r="H2" s="26"/>
      <c r="L2" s="3"/>
      <c r="M2" s="50" t="s">
        <v>162</v>
      </c>
      <c r="N2" s="51"/>
      <c r="O2" s="51"/>
      <c r="P2" s="13"/>
      <c r="Q2" s="45" t="s">
        <v>24</v>
      </c>
      <c r="R2" s="46"/>
      <c r="S2" s="46"/>
      <c r="U2" s="45" t="s">
        <v>1</v>
      </c>
      <c r="V2" s="46"/>
      <c r="W2" s="46"/>
      <c r="Y2" s="22"/>
      <c r="AI2" s="26"/>
      <c r="AJ2" s="26"/>
      <c r="AK2" s="26"/>
      <c r="AL2" s="26"/>
      <c r="AM2" s="26"/>
      <c r="AN2" s="26"/>
      <c r="AO2" s="26"/>
      <c r="AP2" s="26"/>
      <c r="AQ2" s="26"/>
      <c r="BA2" s="26"/>
      <c r="BB2" s="26"/>
      <c r="BC2" s="26"/>
      <c r="BD2" s="26"/>
      <c r="BE2" s="26"/>
      <c r="BF2" s="26"/>
      <c r="BG2" s="26"/>
      <c r="BH2" s="26"/>
      <c r="BI2" s="26"/>
      <c r="BJ2" s="26"/>
      <c r="BK2" s="26"/>
      <c r="BL2" s="26"/>
      <c r="BM2" s="26"/>
      <c r="BN2" s="26"/>
      <c r="BO2" s="26"/>
    </row>
    <row r="3" spans="1:67" s="2" customFormat="1" ht="16.5" customHeight="1" x14ac:dyDescent="0.2">
      <c r="A3" s="6"/>
      <c r="B3" s="26"/>
      <c r="C3" s="26"/>
      <c r="D3" s="26"/>
      <c r="E3" s="26"/>
      <c r="F3" s="26"/>
      <c r="G3" s="26"/>
      <c r="H3" s="26"/>
      <c r="L3" s="6"/>
      <c r="M3" s="51"/>
      <c r="N3" s="51"/>
      <c r="O3" s="51"/>
      <c r="P3" s="14"/>
      <c r="Q3" s="48" t="s">
        <v>59</v>
      </c>
      <c r="R3" s="48"/>
      <c r="S3" s="49"/>
      <c r="U3" s="48" t="s">
        <v>81</v>
      </c>
      <c r="V3" s="48"/>
      <c r="W3" s="49"/>
      <c r="Y3" s="23"/>
      <c r="AI3" s="26"/>
      <c r="AJ3" s="26"/>
      <c r="AK3" s="26"/>
      <c r="AL3" s="26"/>
      <c r="AM3" s="26"/>
      <c r="AN3" s="26"/>
      <c r="AO3" s="26"/>
      <c r="AP3" s="26"/>
      <c r="AQ3" s="26"/>
      <c r="BA3" s="26"/>
      <c r="BB3" s="26"/>
      <c r="BC3" s="26"/>
      <c r="BD3" s="26"/>
      <c r="BE3" s="26"/>
      <c r="BF3" s="26"/>
      <c r="BG3" s="26"/>
      <c r="BH3" s="26"/>
      <c r="BI3" s="26"/>
      <c r="BJ3" s="26"/>
      <c r="BK3" s="26"/>
      <c r="BL3" s="26"/>
      <c r="BM3" s="26"/>
      <c r="BN3" s="26"/>
      <c r="BO3" s="26"/>
    </row>
    <row r="4" spans="1:67" s="2" customFormat="1" ht="16.5" customHeight="1" x14ac:dyDescent="0.2">
      <c r="A4" s="6"/>
      <c r="B4" s="26"/>
      <c r="C4" s="26"/>
      <c r="D4" s="26"/>
      <c r="E4" s="26"/>
      <c r="F4" s="26"/>
      <c r="G4" s="26"/>
      <c r="H4" s="26"/>
      <c r="L4" s="6"/>
      <c r="M4" s="51"/>
      <c r="N4" s="51"/>
      <c r="O4" s="51"/>
      <c r="P4" s="14"/>
      <c r="Q4" s="21" t="s">
        <v>27</v>
      </c>
      <c r="R4" s="9">
        <f>Lbst.max*10^6</f>
        <v>415.53000000000003</v>
      </c>
      <c r="S4" s="12" t="s">
        <v>28</v>
      </c>
      <c r="U4" s="19" t="s">
        <v>83</v>
      </c>
      <c r="V4" s="5">
        <v>27</v>
      </c>
      <c r="W4" s="11" t="s">
        <v>9</v>
      </c>
      <c r="Y4" s="23"/>
      <c r="AI4" s="26"/>
      <c r="AJ4" s="26"/>
      <c r="AK4" s="26"/>
      <c r="AL4" s="26"/>
      <c r="AM4" s="26"/>
      <c r="AN4" s="26"/>
      <c r="AO4" s="26"/>
      <c r="AP4" s="26"/>
      <c r="AQ4" s="26"/>
      <c r="BA4" s="26"/>
      <c r="BB4" s="26"/>
      <c r="BC4" s="26"/>
      <c r="BD4" s="26"/>
      <c r="BE4" s="26"/>
      <c r="BF4" s="26"/>
      <c r="BG4" s="26"/>
      <c r="BH4" s="26"/>
      <c r="BI4" s="26"/>
      <c r="BJ4" s="26"/>
      <c r="BK4" s="26"/>
      <c r="BL4" s="26"/>
      <c r="BM4" s="26"/>
      <c r="BN4" s="26"/>
      <c r="BO4" s="26"/>
    </row>
    <row r="5" spans="1:67" s="2" customFormat="1" ht="16.5" customHeight="1" x14ac:dyDescent="0.2">
      <c r="A5" s="6"/>
      <c r="B5" s="26"/>
      <c r="C5" s="26"/>
      <c r="D5" s="26"/>
      <c r="E5" s="26"/>
      <c r="F5" s="26"/>
      <c r="G5" s="26"/>
      <c r="H5" s="26"/>
      <c r="L5" s="6"/>
      <c r="M5" s="51"/>
      <c r="N5" s="51"/>
      <c r="O5" s="51"/>
      <c r="P5" s="14"/>
      <c r="Q5" s="19" t="s">
        <v>31</v>
      </c>
      <c r="R5" s="5">
        <v>200</v>
      </c>
      <c r="S5" s="11" t="s">
        <v>28</v>
      </c>
      <c r="U5" s="21" t="s">
        <v>85</v>
      </c>
      <c r="V5" s="27">
        <f>RFB1.f/10^6</f>
        <v>5.6000000000000005</v>
      </c>
      <c r="W5" s="12" t="s">
        <v>90</v>
      </c>
      <c r="Y5" s="24"/>
      <c r="AI5" s="26"/>
      <c r="AJ5" s="26"/>
      <c r="AK5" s="26"/>
      <c r="AL5" s="26"/>
      <c r="AM5" s="26"/>
      <c r="AN5" s="26"/>
      <c r="AO5" s="26"/>
      <c r="AP5" s="26"/>
      <c r="AQ5" s="26"/>
      <c r="BA5" s="26"/>
      <c r="BB5" s="26"/>
      <c r="BC5" s="26"/>
      <c r="BD5" s="26"/>
      <c r="BE5" s="26"/>
      <c r="BF5" s="26"/>
      <c r="BG5" s="26"/>
      <c r="BH5" s="26"/>
      <c r="BI5" s="26"/>
      <c r="BJ5" s="26"/>
      <c r="BK5" s="26"/>
      <c r="BL5" s="26"/>
      <c r="BM5" s="26"/>
      <c r="BN5" s="26"/>
      <c r="BO5" s="26"/>
    </row>
    <row r="6" spans="1:67" s="2" customFormat="1" ht="16.5" customHeight="1" x14ac:dyDescent="0.2">
      <c r="A6" s="6"/>
      <c r="B6" s="26"/>
      <c r="C6" s="26"/>
      <c r="D6" s="26"/>
      <c r="E6" s="26"/>
      <c r="F6" s="26"/>
      <c r="G6" s="26"/>
      <c r="H6" s="26"/>
      <c r="L6" s="6"/>
      <c r="M6" s="51"/>
      <c r="N6" s="51"/>
      <c r="O6" s="51"/>
      <c r="P6" s="14"/>
      <c r="Q6" s="19" t="s">
        <v>75</v>
      </c>
      <c r="R6" s="5">
        <v>64</v>
      </c>
      <c r="S6" s="11" t="s">
        <v>70</v>
      </c>
      <c r="U6" s="21" t="s">
        <v>86</v>
      </c>
      <c r="V6" s="29">
        <f>RFB2.f/10^3</f>
        <v>36.12903225806452</v>
      </c>
      <c r="W6" s="12" t="s">
        <v>87</v>
      </c>
      <c r="Y6" s="23"/>
      <c r="AI6" s="26"/>
      <c r="AJ6" s="26"/>
      <c r="AK6" s="26"/>
      <c r="AL6" s="26"/>
      <c r="AM6" s="26"/>
      <c r="AN6" s="26"/>
      <c r="AO6" s="26"/>
      <c r="AP6" s="26"/>
      <c r="AQ6" s="26"/>
      <c r="BA6" s="26"/>
      <c r="BB6" s="26"/>
      <c r="BC6" s="26"/>
      <c r="BD6" s="26"/>
      <c r="BE6" s="26"/>
      <c r="BF6" s="26"/>
      <c r="BG6" s="26"/>
      <c r="BH6" s="26"/>
      <c r="BI6" s="26"/>
      <c r="BJ6" s="26"/>
      <c r="BK6" s="26"/>
      <c r="BL6" s="26"/>
      <c r="BM6" s="26"/>
      <c r="BN6" s="26"/>
      <c r="BO6" s="26"/>
    </row>
    <row r="7" spans="1:67" s="2" customFormat="1" ht="16.5" customHeight="1" x14ac:dyDescent="0.2">
      <c r="A7" s="6"/>
      <c r="B7" s="26"/>
      <c r="C7" s="26"/>
      <c r="D7" s="26"/>
      <c r="E7" s="26"/>
      <c r="F7" s="26"/>
      <c r="G7" s="26"/>
      <c r="H7" s="26"/>
      <c r="L7" s="6"/>
      <c r="P7" s="14"/>
      <c r="Q7" s="19" t="s">
        <v>76</v>
      </c>
      <c r="R7" s="20">
        <v>0.4</v>
      </c>
      <c r="S7" s="11" t="s">
        <v>71</v>
      </c>
      <c r="U7" s="21" t="s">
        <v>95</v>
      </c>
      <c r="V7" s="29">
        <f>(RFB1.f+RFB2.f)/RFB1.f/RFB2.f/150/fline*10^12</f>
        <v>3714.2857142857133</v>
      </c>
      <c r="W7" s="12" t="s">
        <v>12</v>
      </c>
      <c r="Y7" s="23"/>
      <c r="AI7" s="26"/>
      <c r="AJ7" s="26"/>
      <c r="AK7" s="26"/>
      <c r="AL7" s="26"/>
      <c r="AM7" s="26"/>
      <c r="AN7" s="26"/>
      <c r="AO7" s="26"/>
      <c r="AP7" s="26"/>
      <c r="AQ7" s="26"/>
      <c r="BA7" s="26"/>
      <c r="BB7" s="26"/>
      <c r="BC7" s="26"/>
      <c r="BD7" s="26"/>
      <c r="BE7" s="26"/>
      <c r="BF7" s="26"/>
      <c r="BG7" s="26"/>
      <c r="BH7" s="26"/>
      <c r="BI7" s="26"/>
      <c r="BJ7" s="26"/>
      <c r="BK7" s="26"/>
      <c r="BL7" s="26"/>
      <c r="BM7" s="26"/>
      <c r="BN7" s="26"/>
      <c r="BO7" s="26"/>
    </row>
    <row r="8" spans="1:67" s="2" customFormat="1" ht="16.5" customHeight="1" x14ac:dyDescent="0.2">
      <c r="A8" s="6"/>
      <c r="L8" s="6"/>
      <c r="M8" s="45" t="s">
        <v>0</v>
      </c>
      <c r="N8" s="46"/>
      <c r="O8" s="47"/>
      <c r="P8" s="14"/>
      <c r="Q8" s="21" t="s">
        <v>79</v>
      </c>
      <c r="R8" s="29">
        <f>Lbst*(Ics.pk*1.2)/Bmax/A_e</f>
        <v>39.0625</v>
      </c>
      <c r="S8" s="12" t="s">
        <v>77</v>
      </c>
      <c r="U8" s="48" t="s">
        <v>98</v>
      </c>
      <c r="V8" s="48"/>
      <c r="W8" s="49"/>
      <c r="Y8" s="23"/>
      <c r="AI8" s="26"/>
      <c r="BA8" s="26"/>
      <c r="BB8" s="26"/>
      <c r="BC8" s="26"/>
      <c r="BD8" s="26"/>
      <c r="BE8" s="26"/>
      <c r="BF8" s="26"/>
      <c r="BG8" s="26"/>
      <c r="BH8" s="26"/>
      <c r="BI8" s="26"/>
      <c r="BJ8" s="26"/>
      <c r="BK8" s="26"/>
      <c r="BL8" s="26"/>
      <c r="BM8" s="26"/>
      <c r="BN8" s="26"/>
      <c r="BO8" s="26"/>
    </row>
    <row r="9" spans="1:67" s="2" customFormat="1" ht="16.5" customHeight="1" x14ac:dyDescent="0.2">
      <c r="A9" s="6"/>
      <c r="L9" s="6"/>
      <c r="M9" s="19" t="s">
        <v>15</v>
      </c>
      <c r="N9" s="5">
        <v>50</v>
      </c>
      <c r="O9" s="11" t="s">
        <v>2</v>
      </c>
      <c r="P9" s="14"/>
      <c r="Q9" s="19" t="s">
        <v>78</v>
      </c>
      <c r="R9" s="34">
        <v>40</v>
      </c>
      <c r="S9" s="11" t="s">
        <v>77</v>
      </c>
      <c r="U9" s="21" t="s">
        <v>114</v>
      </c>
      <c r="V9" s="27">
        <f>1/PI()/Rload/Cbulk</f>
        <v>3.0775987758033674</v>
      </c>
      <c r="W9" s="12" t="s">
        <v>2</v>
      </c>
      <c r="Y9" s="23"/>
      <c r="AI9" s="26"/>
      <c r="BA9" s="26"/>
      <c r="BB9" s="26"/>
      <c r="BC9" s="26"/>
      <c r="BD9" s="26"/>
      <c r="BE9" s="26"/>
      <c r="BF9" s="26"/>
      <c r="BG9" s="26"/>
      <c r="BH9" s="26"/>
      <c r="BI9" s="26"/>
      <c r="BJ9" s="26"/>
      <c r="BK9" s="26"/>
      <c r="BL9" s="26"/>
      <c r="BM9" s="26"/>
      <c r="BN9" s="26"/>
      <c r="BO9" s="26"/>
    </row>
    <row r="10" spans="1:67" s="2" customFormat="1" ht="16.5" customHeight="1" x14ac:dyDescent="0.2">
      <c r="A10" s="6"/>
      <c r="L10" s="6"/>
      <c r="M10" s="19" t="s">
        <v>136</v>
      </c>
      <c r="N10" s="5">
        <v>90</v>
      </c>
      <c r="O10" s="11" t="s">
        <v>13</v>
      </c>
      <c r="P10" s="14"/>
      <c r="Q10" s="21" t="s">
        <v>80</v>
      </c>
      <c r="R10" s="29">
        <f>IF(zcd_sense="Aux.", N_p/10, "N.A.")</f>
        <v>4</v>
      </c>
      <c r="S10" s="12" t="s">
        <v>77</v>
      </c>
      <c r="U10" s="19" t="s">
        <v>105</v>
      </c>
      <c r="V10" s="5">
        <v>25</v>
      </c>
      <c r="W10" s="11" t="s">
        <v>2</v>
      </c>
      <c r="Y10" s="23"/>
      <c r="AI10" s="26"/>
      <c r="BA10" s="26"/>
      <c r="BB10" s="26"/>
      <c r="BC10" s="26"/>
      <c r="BD10" s="26"/>
      <c r="BE10" s="26"/>
      <c r="BF10" s="26"/>
      <c r="BG10" s="26"/>
      <c r="BH10" s="26"/>
      <c r="BI10" s="26"/>
      <c r="BJ10" s="26"/>
      <c r="BK10" s="26"/>
      <c r="BL10" s="26"/>
      <c r="BM10" s="26"/>
      <c r="BN10" s="26"/>
      <c r="BO10" s="26"/>
    </row>
    <row r="11" spans="1:67" s="2" customFormat="1" ht="16.5" customHeight="1" x14ac:dyDescent="0.2">
      <c r="A11" s="6"/>
      <c r="L11" s="6"/>
      <c r="M11" s="19" t="s">
        <v>137</v>
      </c>
      <c r="N11" s="5">
        <v>264</v>
      </c>
      <c r="O11" s="11" t="s">
        <v>13</v>
      </c>
      <c r="P11" s="14"/>
      <c r="Q11" s="21" t="s">
        <v>72</v>
      </c>
      <c r="R11" s="28">
        <f>2*2^0.5*Pin.max/Vline.min</f>
        <v>3.3081019002879417</v>
      </c>
      <c r="S11" s="12" t="s">
        <v>8</v>
      </c>
      <c r="U11" s="30" t="s">
        <v>107</v>
      </c>
      <c r="V11" s="5">
        <v>60</v>
      </c>
      <c r="W11" s="31" t="s">
        <v>108</v>
      </c>
      <c r="Y11" s="23"/>
      <c r="AI11" s="26"/>
      <c r="BA11" s="26"/>
      <c r="BB11" s="26"/>
      <c r="BC11" s="26"/>
      <c r="BD11" s="26"/>
      <c r="BE11" s="26"/>
      <c r="BF11" s="26"/>
      <c r="BG11" s="26"/>
      <c r="BH11" s="26"/>
      <c r="BI11" s="26"/>
      <c r="BJ11" s="26"/>
      <c r="BK11" s="26"/>
      <c r="BL11" s="26"/>
      <c r="BM11" s="26"/>
      <c r="BN11" s="26"/>
      <c r="BO11" s="26"/>
    </row>
    <row r="12" spans="1:67" s="2" customFormat="1" ht="16.5" customHeight="1" x14ac:dyDescent="0.2">
      <c r="A12" s="6"/>
      <c r="L12" s="6"/>
      <c r="M12" s="19" t="s">
        <v>16</v>
      </c>
      <c r="N12" s="7">
        <v>390</v>
      </c>
      <c r="O12" s="11" t="s">
        <v>3</v>
      </c>
      <c r="P12" s="14"/>
      <c r="Q12" s="21" t="s">
        <v>73</v>
      </c>
      <c r="R12" s="28">
        <f>IL.pk.max/6^0.5</f>
        <v>1.350526945472809</v>
      </c>
      <c r="S12" s="12" t="s">
        <v>33</v>
      </c>
      <c r="T12" s="16"/>
      <c r="U12" s="21" t="s">
        <v>106</v>
      </c>
      <c r="V12" s="27">
        <f>C_z*10^6</f>
        <v>3.4663946605414799</v>
      </c>
      <c r="W12" s="12" t="s">
        <v>11</v>
      </c>
      <c r="X12" s="16"/>
      <c r="Y12" s="23"/>
      <c r="AI12" s="26"/>
      <c r="BA12" s="26"/>
      <c r="BB12" s="26"/>
      <c r="BC12" s="26"/>
      <c r="BD12" s="26"/>
      <c r="BE12" s="26"/>
      <c r="BF12" s="26"/>
      <c r="BG12" s="26"/>
      <c r="BH12" s="26"/>
      <c r="BI12" s="26"/>
      <c r="BJ12" s="26"/>
      <c r="BK12" s="26"/>
      <c r="BL12" s="26"/>
      <c r="BM12" s="26"/>
      <c r="BN12" s="26"/>
      <c r="BO12" s="26"/>
    </row>
    <row r="13" spans="1:67" s="2" customFormat="1" ht="16.5" customHeight="1" x14ac:dyDescent="0.2">
      <c r="A13" s="6"/>
      <c r="L13" s="6"/>
      <c r="M13" s="19" t="s">
        <v>17</v>
      </c>
      <c r="N13" s="7">
        <v>250</v>
      </c>
      <c r="O13" s="11" t="s">
        <v>3</v>
      </c>
      <c r="P13" s="14"/>
      <c r="Q13" s="21" t="s">
        <v>48</v>
      </c>
      <c r="R13" s="29">
        <f>(Vline.min*2^0.5)^2*(Vo.LL-Vline.min*2^0.5)/4/Pin.max/Vo.LL/Lbst/1000</f>
        <v>94.433639737851323</v>
      </c>
      <c r="S13" s="12" t="s">
        <v>7</v>
      </c>
      <c r="T13" s="16"/>
      <c r="U13" s="21" t="s">
        <v>109</v>
      </c>
      <c r="V13" s="29">
        <f>R_z/10^3</f>
        <v>14.918670568204096</v>
      </c>
      <c r="W13" s="12" t="s">
        <v>87</v>
      </c>
      <c r="X13" s="16"/>
      <c r="Y13" s="23"/>
      <c r="AI13" s="26"/>
      <c r="BA13" s="26"/>
      <c r="BB13" s="26"/>
      <c r="BC13" s="26"/>
      <c r="BD13" s="26"/>
      <c r="BE13" s="26"/>
      <c r="BF13" s="26"/>
      <c r="BG13" s="26"/>
      <c r="BH13" s="26"/>
      <c r="BI13" s="26"/>
      <c r="BJ13" s="26"/>
      <c r="BK13" s="26"/>
      <c r="BL13" s="26"/>
      <c r="BM13" s="26"/>
      <c r="BN13" s="26"/>
      <c r="BO13" s="26"/>
    </row>
    <row r="14" spans="1:67" s="2" customFormat="1" ht="16.5" customHeight="1" x14ac:dyDescent="0.2">
      <c r="A14" s="6"/>
      <c r="L14" s="6"/>
      <c r="M14" s="19" t="s">
        <v>20</v>
      </c>
      <c r="N14" s="7">
        <v>180</v>
      </c>
      <c r="O14" s="11" t="s">
        <v>3</v>
      </c>
      <c r="P14" s="14"/>
      <c r="Q14" s="48" t="s">
        <v>60</v>
      </c>
      <c r="R14" s="48"/>
      <c r="S14" s="49"/>
      <c r="T14" s="16"/>
      <c r="U14" s="21" t="s">
        <v>112</v>
      </c>
      <c r="V14" s="29">
        <f>C_p*10^9</f>
        <v>246.37087820091682</v>
      </c>
      <c r="W14" s="12" t="s">
        <v>10</v>
      </c>
      <c r="X14" s="16"/>
      <c r="Y14" s="23"/>
      <c r="AI14" s="26"/>
      <c r="BA14" s="26"/>
      <c r="BB14" s="26"/>
      <c r="BC14" s="26"/>
      <c r="BD14" s="26"/>
      <c r="BE14" s="26"/>
      <c r="BF14" s="26"/>
      <c r="BG14" s="26"/>
      <c r="BH14" s="26"/>
      <c r="BI14" s="26"/>
      <c r="BJ14" s="26"/>
      <c r="BK14" s="26"/>
      <c r="BL14" s="26"/>
      <c r="BM14" s="26"/>
      <c r="BN14" s="26"/>
      <c r="BO14" s="26"/>
    </row>
    <row r="15" spans="1:67" s="2" customFormat="1" ht="16.5" customHeight="1" x14ac:dyDescent="0.2">
      <c r="M15" s="19" t="s">
        <v>18</v>
      </c>
      <c r="N15" s="5">
        <v>100</v>
      </c>
      <c r="O15" s="11" t="s">
        <v>19</v>
      </c>
      <c r="P15" s="14"/>
      <c r="Q15" s="19" t="s">
        <v>47</v>
      </c>
      <c r="R15" s="20">
        <v>6</v>
      </c>
      <c r="S15" s="11" t="s">
        <v>4</v>
      </c>
      <c r="T15" s="16"/>
      <c r="U15" s="48" t="s">
        <v>115</v>
      </c>
      <c r="V15" s="48"/>
      <c r="W15" s="49"/>
      <c r="X15" s="16"/>
      <c r="Y15" s="23"/>
      <c r="AI15" s="26"/>
      <c r="BA15" s="26"/>
      <c r="BB15" s="26"/>
      <c r="BC15" s="26"/>
      <c r="BD15" s="26"/>
      <c r="BE15" s="26"/>
      <c r="BF15" s="26"/>
      <c r="BG15" s="26"/>
      <c r="BH15" s="26"/>
      <c r="BI15" s="26"/>
      <c r="BJ15" s="26"/>
      <c r="BK15" s="26"/>
      <c r="BL15" s="26"/>
      <c r="BM15" s="26"/>
      <c r="BN15" s="26"/>
      <c r="BO15" s="26"/>
    </row>
    <row r="16" spans="1:67" s="2" customFormat="1" ht="16.5" customHeight="1" x14ac:dyDescent="0.2">
      <c r="M16" s="19" t="s">
        <v>14</v>
      </c>
      <c r="N16" s="5">
        <v>95</v>
      </c>
      <c r="O16" s="11" t="s">
        <v>4</v>
      </c>
      <c r="P16" s="14"/>
      <c r="Q16" s="19" t="s">
        <v>52</v>
      </c>
      <c r="R16" s="20">
        <v>10</v>
      </c>
      <c r="S16" s="11" t="s">
        <v>6</v>
      </c>
      <c r="T16" s="16"/>
      <c r="U16" s="21" t="s">
        <v>116</v>
      </c>
      <c r="V16" s="32">
        <f>0.5/(IL.pk.max*1.2)</f>
        <v>0.12595339539885378</v>
      </c>
      <c r="W16" s="12" t="s">
        <v>88</v>
      </c>
      <c r="X16" s="16"/>
      <c r="Y16" s="23"/>
      <c r="AI16" s="26"/>
      <c r="BA16" s="26"/>
      <c r="BB16" s="26"/>
      <c r="BC16" s="26"/>
      <c r="BD16" s="26"/>
      <c r="BE16" s="26"/>
      <c r="BF16" s="26"/>
      <c r="BG16" s="26"/>
      <c r="BH16" s="26"/>
      <c r="BI16" s="26"/>
      <c r="BJ16" s="26"/>
      <c r="BK16" s="26"/>
      <c r="BL16" s="26"/>
      <c r="BM16" s="26"/>
      <c r="BN16" s="26"/>
      <c r="BO16" s="26"/>
    </row>
    <row r="17" spans="5:67" s="2" customFormat="1" ht="16.5" customHeight="1" x14ac:dyDescent="0.2">
      <c r="M17" s="19" t="s">
        <v>64</v>
      </c>
      <c r="N17" s="20" t="s">
        <v>21</v>
      </c>
      <c r="O17" s="11"/>
      <c r="P17" s="8"/>
      <c r="Q17" s="21" t="s">
        <v>54</v>
      </c>
      <c r="R17" s="9">
        <f>MAX(Cbulk.min1,Cbulk.min2)*10^6</f>
        <v>66.44518272425249</v>
      </c>
      <c r="S17" s="12" t="s">
        <v>11</v>
      </c>
      <c r="T17" s="16"/>
      <c r="U17" s="19" t="s">
        <v>117</v>
      </c>
      <c r="V17" s="33">
        <v>0.12</v>
      </c>
      <c r="W17" s="11" t="s">
        <v>88</v>
      </c>
      <c r="X17" s="16"/>
      <c r="Y17" s="23"/>
      <c r="AI17" s="26"/>
      <c r="BA17" s="26"/>
      <c r="BB17" s="26"/>
      <c r="BC17" s="26"/>
      <c r="BD17" s="26"/>
      <c r="BE17" s="26"/>
      <c r="BF17" s="26"/>
      <c r="BG17" s="26"/>
      <c r="BH17" s="26"/>
      <c r="BI17" s="26"/>
      <c r="BJ17" s="26"/>
      <c r="BK17" s="26"/>
      <c r="BL17" s="26"/>
      <c r="BM17" s="26"/>
      <c r="BN17" s="26"/>
      <c r="BO17" s="26"/>
    </row>
    <row r="18" spans="5:67" s="2" customFormat="1" ht="16.5" customHeight="1" x14ac:dyDescent="0.2">
      <c r="M18" s="19" t="s">
        <v>63</v>
      </c>
      <c r="N18" s="20" t="s">
        <v>67</v>
      </c>
      <c r="O18" s="11"/>
      <c r="P18" s="8"/>
      <c r="Q18" s="19" t="s">
        <v>55</v>
      </c>
      <c r="R18" s="5">
        <v>68</v>
      </c>
      <c r="S18" s="11" t="s">
        <v>11</v>
      </c>
      <c r="T18" s="16"/>
      <c r="U18" s="21" t="s">
        <v>118</v>
      </c>
      <c r="V18" s="10">
        <f>Isw.rms^2*Rsense</f>
        <v>0.12428536222308982</v>
      </c>
      <c r="W18" s="12" t="s">
        <v>19</v>
      </c>
      <c r="X18" s="16"/>
      <c r="Y18" s="25"/>
      <c r="Z18" s="36"/>
      <c r="AA18" s="36"/>
      <c r="AB18" s="36"/>
      <c r="AC18" s="26"/>
      <c r="AD18" s="26"/>
      <c r="AE18" s="26"/>
      <c r="AI18" s="26"/>
      <c r="BA18" s="26"/>
      <c r="BB18" s="26"/>
      <c r="BC18" s="26"/>
      <c r="BD18" s="26"/>
      <c r="BE18" s="26"/>
      <c r="BF18" s="26"/>
      <c r="BG18" s="26"/>
      <c r="BH18" s="26"/>
      <c r="BI18" s="26"/>
      <c r="BJ18" s="26"/>
      <c r="BK18" s="26"/>
      <c r="BL18" s="26"/>
      <c r="BM18" s="26"/>
      <c r="BN18" s="26"/>
      <c r="BO18" s="26"/>
    </row>
    <row r="19" spans="5:67" s="2" customFormat="1" ht="16.5" customHeight="1" x14ac:dyDescent="0.2">
      <c r="M19" s="21" t="s">
        <v>56</v>
      </c>
      <c r="N19" s="29">
        <f>Po.max/Cbulk/2/PI()/fline/Vo.HL</f>
        <v>12.002635225633133</v>
      </c>
      <c r="O19" s="12" t="s">
        <v>3</v>
      </c>
      <c r="P19" s="8"/>
      <c r="Q19" s="21" t="s">
        <v>74</v>
      </c>
      <c r="R19" s="28">
        <f>( 32*2^0.5/9/PI()*Pin.max^2/Vline.min/Vo.LL - (Po.max/Vo.LL)^2 )^0.5</f>
        <v>0.79259805613503309</v>
      </c>
      <c r="S19" s="12" t="s">
        <v>33</v>
      </c>
      <c r="T19" s="16"/>
      <c r="U19" s="19" t="s">
        <v>119</v>
      </c>
      <c r="V19" s="35">
        <v>133</v>
      </c>
      <c r="W19" s="11"/>
      <c r="X19" s="16"/>
      <c r="Y19" s="25"/>
      <c r="Z19" s="36"/>
      <c r="AA19" s="36"/>
      <c r="AB19" s="36"/>
      <c r="AC19" s="26"/>
      <c r="AD19" s="26"/>
      <c r="AE19" s="26"/>
      <c r="AI19" s="26"/>
      <c r="BA19" s="26"/>
      <c r="BB19" s="26"/>
      <c r="BC19" s="26"/>
      <c r="BD19" s="26"/>
      <c r="BE19" s="26"/>
      <c r="BF19" s="26"/>
      <c r="BG19" s="26"/>
      <c r="BH19" s="26"/>
      <c r="BI19" s="26"/>
      <c r="BJ19" s="26"/>
      <c r="BK19" s="26"/>
      <c r="BL19" s="26"/>
      <c r="BM19" s="26"/>
      <c r="BN19" s="26"/>
      <c r="BO19" s="26"/>
    </row>
    <row r="20" spans="5:67" s="2" customFormat="1" ht="16.5" customHeight="1" x14ac:dyDescent="0.2">
      <c r="M20" s="21" t="s">
        <v>58</v>
      </c>
      <c r="N20" s="29">
        <f>IF(Bst.Follow="Y", Po.max/Cbulk/2/PI()/fline/Vo.LL, "N.A.")</f>
        <v>18.724110951987686</v>
      </c>
      <c r="O20" s="12" t="s">
        <v>3</v>
      </c>
      <c r="P20" s="8"/>
      <c r="Q20" s="48" t="s">
        <v>61</v>
      </c>
      <c r="R20" s="48"/>
      <c r="S20" s="49"/>
      <c r="T20" s="16"/>
      <c r="U20" s="19" t="s">
        <v>120</v>
      </c>
      <c r="V20" s="5">
        <v>27</v>
      </c>
      <c r="W20" s="11" t="s">
        <v>9</v>
      </c>
      <c r="X20" s="16"/>
      <c r="Y20" s="25"/>
      <c r="Z20" s="26"/>
      <c r="AA20" s="26"/>
      <c r="AB20" s="26"/>
      <c r="AC20" s="26"/>
      <c r="AD20" s="26"/>
      <c r="AE20" s="26"/>
      <c r="AF20" s="26"/>
      <c r="AG20" s="26"/>
      <c r="AH20" s="26"/>
      <c r="AI20" s="26"/>
      <c r="BA20" s="26"/>
      <c r="BB20" s="26"/>
      <c r="BC20" s="26"/>
      <c r="BD20" s="26"/>
      <c r="BE20" s="26"/>
      <c r="BF20" s="26"/>
      <c r="BG20" s="26"/>
      <c r="BH20" s="26"/>
      <c r="BI20" s="26"/>
      <c r="BJ20" s="26"/>
      <c r="BK20" s="26"/>
      <c r="BL20" s="26"/>
      <c r="BM20" s="26"/>
      <c r="BN20" s="26"/>
      <c r="BO20" s="26"/>
    </row>
    <row r="21" spans="5:67" s="2" customFormat="1" ht="16.5" customHeight="1" x14ac:dyDescent="0.2">
      <c r="M21" s="21" t="s">
        <v>141</v>
      </c>
      <c r="N21" s="29">
        <f>K_cs*VCS.HL/2^0.5</f>
        <v>169.28136341605946</v>
      </c>
      <c r="O21" s="12" t="s">
        <v>13</v>
      </c>
      <c r="P21" s="8"/>
      <c r="Q21" s="19" t="s">
        <v>34</v>
      </c>
      <c r="R21" s="20">
        <v>0.25</v>
      </c>
      <c r="S21" s="11" t="s">
        <v>5</v>
      </c>
      <c r="T21" s="18"/>
      <c r="U21" s="21" t="s">
        <v>121</v>
      </c>
      <c r="V21" s="29">
        <f>IF(zcd_sense="Aux.", 22, 62)</f>
        <v>22</v>
      </c>
      <c r="W21" s="12" t="s">
        <v>87</v>
      </c>
      <c r="X21" s="18"/>
      <c r="Y21" s="25"/>
      <c r="Z21" s="26"/>
      <c r="AA21" s="26"/>
      <c r="AB21" s="26"/>
      <c r="AC21" s="26"/>
      <c r="AD21" s="26"/>
      <c r="AE21" s="26"/>
      <c r="AF21" s="26"/>
      <c r="AG21" s="26"/>
      <c r="AH21" s="26"/>
      <c r="AI21" s="26"/>
      <c r="BA21" s="26"/>
      <c r="BB21" s="26"/>
      <c r="BC21" s="26"/>
      <c r="BD21" s="26"/>
      <c r="BE21" s="26"/>
      <c r="BF21" s="26"/>
      <c r="BG21" s="26"/>
      <c r="BH21" s="26"/>
      <c r="BI21" s="26"/>
      <c r="BJ21" s="26"/>
      <c r="BK21" s="26"/>
      <c r="BL21" s="26"/>
      <c r="BM21" s="26"/>
      <c r="BN21" s="26"/>
      <c r="BO21" s="26"/>
    </row>
    <row r="22" spans="5:67" s="2" customFormat="1" ht="16.5" customHeight="1" x14ac:dyDescent="0.2">
      <c r="M22" s="21" t="s">
        <v>142</v>
      </c>
      <c r="N22" s="29">
        <f>K_cs*VCS.LL/2^0.5</f>
        <v>145.77006294160677</v>
      </c>
      <c r="O22" s="12" t="s">
        <v>13</v>
      </c>
      <c r="P22" s="8"/>
      <c r="Q22" s="21" t="s">
        <v>36</v>
      </c>
      <c r="R22" s="10">
        <f>Isw.rms^2*Rds.on</f>
        <v>0.25892783796477048</v>
      </c>
      <c r="S22" s="12" t="s">
        <v>19</v>
      </c>
      <c r="T22" s="18"/>
      <c r="U22" s="19" t="s">
        <v>122</v>
      </c>
      <c r="V22" s="34">
        <v>22</v>
      </c>
      <c r="W22" s="11" t="s">
        <v>87</v>
      </c>
      <c r="X22" s="18"/>
      <c r="Y22" s="25"/>
      <c r="Z22" s="26"/>
      <c r="AA22" s="26"/>
      <c r="AB22" s="26"/>
      <c r="AC22" s="26"/>
      <c r="AD22" s="26"/>
      <c r="AE22" s="26"/>
      <c r="AF22" s="26"/>
      <c r="AG22" s="26"/>
      <c r="AH22" s="26"/>
      <c r="AI22" s="26"/>
      <c r="BA22" s="26"/>
      <c r="BB22" s="26"/>
      <c r="BC22" s="26"/>
      <c r="BD22" s="26"/>
      <c r="BE22" s="26"/>
      <c r="BF22" s="26"/>
      <c r="BG22" s="26"/>
      <c r="BH22" s="26"/>
      <c r="BI22" s="26"/>
      <c r="BJ22" s="26"/>
      <c r="BK22" s="26"/>
      <c r="BL22" s="26"/>
      <c r="BM22" s="26"/>
      <c r="BN22" s="26"/>
      <c r="BO22" s="26"/>
    </row>
    <row r="23" spans="5:67" s="2" customFormat="1" ht="16.5" customHeight="1" x14ac:dyDescent="0.2">
      <c r="M23" s="21" t="s">
        <v>140</v>
      </c>
      <c r="N23" s="29" t="str">
        <f>IF(VCS.BO.EN="NA", "N.A.", IF(zcd_sense="Aux.", "Error", K_cs*VCS.BO.EN/2^0.5) )</f>
        <v>N.A.</v>
      </c>
      <c r="O23" s="12" t="s">
        <v>13</v>
      </c>
      <c r="P23" s="4"/>
      <c r="Q23" s="21" t="s">
        <v>35</v>
      </c>
      <c r="R23" s="9">
        <f>Vo.HL*1.085</f>
        <v>423.15</v>
      </c>
      <c r="S23" s="12" t="s">
        <v>3</v>
      </c>
      <c r="T23" s="18"/>
      <c r="U23" s="21" t="s">
        <v>123</v>
      </c>
      <c r="V23" s="29">
        <f>IF(zcd_sense="Aux.", Rcs1.aux/10^3, Rcs1.drain/10^3)</f>
        <v>270.60000000000002</v>
      </c>
      <c r="W23" s="12" t="s">
        <v>87</v>
      </c>
      <c r="X23" s="18"/>
      <c r="Y23" s="25"/>
      <c r="Z23" s="26"/>
      <c r="AA23" s="26"/>
      <c r="AB23" s="26"/>
      <c r="AC23" s="26"/>
      <c r="AD23" s="26"/>
      <c r="AE23" s="26"/>
      <c r="AF23" s="26"/>
      <c r="AG23" s="26"/>
      <c r="AH23" s="26"/>
      <c r="AI23" s="26"/>
      <c r="BA23" s="26"/>
      <c r="BB23" s="26"/>
      <c r="BC23" s="26"/>
      <c r="BD23" s="26"/>
      <c r="BE23" s="26"/>
      <c r="BF23" s="26"/>
      <c r="BG23" s="26"/>
      <c r="BH23" s="26"/>
      <c r="BI23" s="26"/>
      <c r="BJ23" s="26"/>
      <c r="BK23" s="26"/>
      <c r="BL23" s="26"/>
      <c r="BM23" s="26"/>
      <c r="BN23" s="26"/>
      <c r="BO23" s="26"/>
    </row>
    <row r="24" spans="5:67" s="2" customFormat="1" ht="16.5" customHeight="1" x14ac:dyDescent="0.2">
      <c r="M24" s="21" t="s">
        <v>143</v>
      </c>
      <c r="N24" s="29" t="str">
        <f>IF(VCS.BO.EX="NA", "N.A.", IF(zcd_sense="Aux.", "Error", K_cs*VCS.BO.EX/2^0.5) )</f>
        <v>N.A.</v>
      </c>
      <c r="O24" s="12" t="s">
        <v>13</v>
      </c>
      <c r="P24" s="4"/>
      <c r="Q24" s="19" t="s">
        <v>38</v>
      </c>
      <c r="R24" s="20">
        <v>1</v>
      </c>
      <c r="S24" s="11" t="s">
        <v>3</v>
      </c>
      <c r="T24" s="15"/>
      <c r="U24" s="21" t="s">
        <v>127</v>
      </c>
      <c r="V24" s="27">
        <f>IF(zcd_sense="Aux.", Pd.RCS.aux*10^3, Pd.RCS.drain*10^3)</f>
        <v>4.7639097744360903</v>
      </c>
      <c r="W24" s="12" t="s">
        <v>9</v>
      </c>
      <c r="X24" s="15"/>
      <c r="Y24" s="25"/>
      <c r="Z24" s="26"/>
      <c r="AA24" s="26"/>
      <c r="AB24" s="26"/>
      <c r="AC24" s="26"/>
      <c r="AD24" s="26"/>
      <c r="AE24" s="26"/>
      <c r="AF24" s="26"/>
      <c r="AG24" s="26"/>
      <c r="AH24" s="26"/>
      <c r="AI24" s="26"/>
      <c r="BA24" s="26"/>
      <c r="BB24" s="26"/>
      <c r="BC24" s="26"/>
      <c r="BD24" s="26"/>
      <c r="BE24" s="26"/>
      <c r="BF24" s="26"/>
      <c r="BG24" s="26"/>
      <c r="BH24" s="26"/>
      <c r="BI24" s="26"/>
      <c r="BJ24" s="26"/>
      <c r="BK24" s="26"/>
      <c r="BL24" s="26"/>
      <c r="BM24" s="26"/>
      <c r="BN24" s="26"/>
      <c r="BO24" s="26"/>
    </row>
    <row r="25" spans="5:67" s="2" customFormat="1" ht="16.5" customHeight="1" x14ac:dyDescent="0.2">
      <c r="M25" s="21" t="s">
        <v>147</v>
      </c>
      <c r="N25" s="29">
        <f>0.3*(RFB1.f+RFB2.f)/RFB2.f</f>
        <v>46.8</v>
      </c>
      <c r="O25" s="12" t="s">
        <v>13</v>
      </c>
      <c r="P25" s="4"/>
      <c r="Q25" s="21" t="s">
        <v>39</v>
      </c>
      <c r="R25" s="10">
        <f>Po.max/Vo.LL*VDbst.f</f>
        <v>0.4</v>
      </c>
      <c r="S25" s="12" t="s">
        <v>19</v>
      </c>
      <c r="T25" s="15"/>
      <c r="U25" s="21" t="s">
        <v>130</v>
      </c>
      <c r="V25" s="9">
        <f>IF(zcd_sense="Aux.", Vo.HL*1.085*N_a/N_p, "N.A.")</f>
        <v>42.314999999999998</v>
      </c>
      <c r="W25" s="12" t="s">
        <v>3</v>
      </c>
      <c r="X25" s="15"/>
      <c r="Y25" s="25"/>
      <c r="Z25" s="26"/>
      <c r="AA25" s="26"/>
      <c r="AB25" s="26"/>
      <c r="AC25" s="26"/>
      <c r="AD25" s="26"/>
      <c r="AE25" s="26"/>
      <c r="AF25" s="26"/>
      <c r="AG25" s="26"/>
      <c r="AH25" s="26"/>
      <c r="AI25" s="26"/>
      <c r="BA25" s="26"/>
      <c r="BB25" s="26"/>
      <c r="BC25" s="26"/>
      <c r="BD25" s="26"/>
      <c r="BE25" s="26"/>
      <c r="BF25" s="26"/>
      <c r="BG25" s="26"/>
      <c r="BH25" s="26"/>
      <c r="BI25" s="26"/>
      <c r="BJ25" s="26"/>
      <c r="BK25" s="26"/>
      <c r="BL25" s="26"/>
      <c r="BM25" s="26"/>
      <c r="BN25" s="26"/>
      <c r="BO25" s="26"/>
    </row>
    <row r="26" spans="5:67" s="2" customFormat="1" ht="16.5" customHeight="1" x14ac:dyDescent="0.2">
      <c r="M26" s="21" t="s">
        <v>148</v>
      </c>
      <c r="N26" s="29">
        <f>0.53*(RFB1.f+RFB2.f)/RFB2.f</f>
        <v>82.68</v>
      </c>
      <c r="O26" s="12" t="s">
        <v>13</v>
      </c>
      <c r="P26" s="4"/>
      <c r="Q26" s="21" t="s">
        <v>62</v>
      </c>
      <c r="R26" s="9">
        <f>Vo.HL*1.085</f>
        <v>423.15</v>
      </c>
      <c r="S26" s="12" t="s">
        <v>3</v>
      </c>
      <c r="T26" s="15"/>
      <c r="U26" s="21" t="s">
        <v>131</v>
      </c>
      <c r="V26" s="27">
        <f>IF(zcd_sense="Aux.", Caux.recommed*10^9, "N.A.")</f>
        <v>2.1872863978127133</v>
      </c>
      <c r="W26" s="12" t="s">
        <v>10</v>
      </c>
      <c r="X26" s="15"/>
      <c r="Y26" s="25"/>
      <c r="Z26" s="26"/>
      <c r="AA26" s="26"/>
      <c r="AB26" s="26"/>
      <c r="AC26" s="26"/>
      <c r="AD26" s="26"/>
      <c r="AE26" s="26"/>
      <c r="AF26" s="26"/>
      <c r="AG26" s="26"/>
      <c r="AH26" s="26"/>
      <c r="AI26" s="26"/>
      <c r="BA26" s="26"/>
      <c r="BB26" s="26"/>
      <c r="BC26" s="26"/>
      <c r="BD26" s="26"/>
      <c r="BE26" s="26"/>
      <c r="BF26" s="26"/>
      <c r="BG26" s="26"/>
      <c r="BH26" s="26"/>
      <c r="BI26" s="26"/>
      <c r="BJ26" s="26"/>
      <c r="BK26" s="26"/>
      <c r="BL26" s="26"/>
      <c r="BM26" s="26"/>
      <c r="BN26" s="26"/>
      <c r="BO26" s="26"/>
    </row>
    <row r="27" spans="5:67" s="16" customFormat="1" ht="16.5" customHeight="1" x14ac:dyDescent="0.2">
      <c r="M27" s="21" t="s">
        <v>149</v>
      </c>
      <c r="N27" s="29">
        <f>IF(Bst.Follow="Y", 1.2*(RFB1.f+RFB2.f)/RFB2.f-IFB.LL*RFB1.f, "N.A.")</f>
        <v>47.199999999999989</v>
      </c>
      <c r="O27" s="12" t="s">
        <v>13</v>
      </c>
      <c r="P27" s="17"/>
      <c r="Q27" s="19" t="s">
        <v>45</v>
      </c>
      <c r="R27" s="20">
        <v>1</v>
      </c>
      <c r="S27" s="11" t="s">
        <v>3</v>
      </c>
      <c r="T27" s="15"/>
      <c r="U27" s="19" t="s">
        <v>133</v>
      </c>
      <c r="V27" s="35">
        <v>2.2000000000000002</v>
      </c>
      <c r="W27" s="11" t="s">
        <v>10</v>
      </c>
      <c r="X27" s="15"/>
      <c r="Y27" s="26"/>
      <c r="Z27" s="36"/>
      <c r="AA27" s="36"/>
      <c r="AB27" s="36"/>
      <c r="AC27" s="36"/>
      <c r="AD27" s="36"/>
      <c r="AE27" s="36"/>
      <c r="AF27" s="36"/>
      <c r="AG27" s="36"/>
      <c r="AH27" s="36"/>
      <c r="BA27" s="26"/>
      <c r="BB27" s="26"/>
      <c r="BC27" s="26"/>
      <c r="BD27" s="26"/>
      <c r="BE27" s="26"/>
      <c r="BF27" s="26"/>
      <c r="BG27" s="26"/>
      <c r="BH27" s="26"/>
      <c r="BI27" s="26"/>
      <c r="BJ27" s="26"/>
      <c r="BK27" s="26"/>
      <c r="BL27" s="26"/>
      <c r="BM27" s="26"/>
      <c r="BN27" s="26"/>
      <c r="BO27" s="26"/>
    </row>
    <row r="28" spans="5:67" s="16" customFormat="1" ht="16.5" customHeight="1" x14ac:dyDescent="0.2">
      <c r="M28" s="21" t="s">
        <v>150</v>
      </c>
      <c r="N28" s="29">
        <f>IF(Bst.Follow="Y", 1.3*(RFB1.f+RFB2.f)/RFB2.f-IFB.LL*RFB1.f, "N.A.")</f>
        <v>62.799999999999983</v>
      </c>
      <c r="O28" s="12" t="s">
        <v>13</v>
      </c>
      <c r="Q28" s="21" t="s">
        <v>46</v>
      </c>
      <c r="R28" s="10">
        <f>1.8*VDbd.f*Pin.max/Vline.min</f>
        <v>2.1052631578947367</v>
      </c>
      <c r="S28" s="12" t="s">
        <v>19</v>
      </c>
      <c r="T28" s="15"/>
      <c r="U28" s="21" t="s">
        <v>132</v>
      </c>
      <c r="V28" s="29">
        <f>IF(zcd_sense="Aux.", 100*10^-9/Caux, "N.A.")</f>
        <v>45.454545454545453</v>
      </c>
      <c r="W28" s="12" t="s">
        <v>88</v>
      </c>
      <c r="X28" s="15"/>
      <c r="Y28" s="26"/>
      <c r="Z28" s="36"/>
      <c r="AA28" s="36"/>
      <c r="AB28" s="36"/>
      <c r="AC28" s="36"/>
      <c r="AD28" s="36"/>
      <c r="AE28" s="36"/>
      <c r="AF28" s="36"/>
      <c r="AG28" s="36"/>
      <c r="AH28" s="36"/>
      <c r="BA28" s="26"/>
      <c r="BB28" s="26"/>
      <c r="BC28" s="26"/>
      <c r="BD28" s="26"/>
      <c r="BE28" s="26"/>
      <c r="BF28" s="26"/>
      <c r="BG28" s="26"/>
      <c r="BH28" s="26"/>
      <c r="BI28" s="26"/>
      <c r="BJ28" s="26"/>
      <c r="BK28" s="26"/>
      <c r="BL28" s="26"/>
      <c r="BM28" s="26"/>
      <c r="BN28" s="26"/>
      <c r="BO28" s="26"/>
    </row>
    <row r="29" spans="5:67" ht="16.5" customHeight="1" x14ac:dyDescent="0.2">
      <c r="M29" s="21" t="s">
        <v>151</v>
      </c>
      <c r="N29" s="29" t="str">
        <f>IF(VCS.OVP2="NA", "N.A.", K_cs*VCS.OVP2)</f>
        <v>N.A.</v>
      </c>
      <c r="O29" s="12" t="s">
        <v>3</v>
      </c>
      <c r="P29" s="36"/>
      <c r="Q29" s="36"/>
      <c r="R29" s="36"/>
      <c r="S29" s="36"/>
      <c r="T29" s="1"/>
      <c r="U29" s="1"/>
      <c r="V29" s="1"/>
      <c r="W29" s="1"/>
      <c r="X29" s="1"/>
      <c r="Y29" s="26"/>
      <c r="Z29" s="36"/>
      <c r="AA29" s="36"/>
      <c r="AB29" s="36"/>
      <c r="AC29" s="36"/>
      <c r="AD29" s="36"/>
      <c r="AE29" s="36"/>
      <c r="AF29" s="36"/>
      <c r="AG29" s="36"/>
      <c r="AH29" s="36"/>
      <c r="AI29" s="16"/>
      <c r="AJ29" s="16"/>
      <c r="AK29" s="16"/>
      <c r="AL29" s="16"/>
      <c r="AM29" s="16"/>
    </row>
    <row r="30" spans="5:67" ht="16.5" customHeight="1" x14ac:dyDescent="0.2">
      <c r="E30" s="44"/>
      <c r="F30" s="44"/>
      <c r="G30" s="44"/>
      <c r="H30" s="44"/>
      <c r="I30" s="16"/>
      <c r="J30" s="16"/>
      <c r="K30" s="16"/>
      <c r="L30" s="16"/>
      <c r="M30" s="16"/>
      <c r="N30" s="16"/>
      <c r="O30" s="16"/>
      <c r="P30" s="16"/>
      <c r="Q30" s="16"/>
      <c r="R30" s="16"/>
      <c r="S30" s="16"/>
      <c r="T30" s="16"/>
      <c r="X30" s="16"/>
      <c r="Y30" s="26"/>
      <c r="Z30" s="36"/>
      <c r="AA30" s="36"/>
      <c r="AB30" s="36"/>
      <c r="AC30" s="36"/>
      <c r="AD30" s="36"/>
      <c r="AE30" s="36"/>
      <c r="AF30" s="36"/>
      <c r="AG30" s="36"/>
      <c r="AH30" s="36"/>
      <c r="AI30" s="16"/>
      <c r="AJ30" s="16"/>
      <c r="AK30" s="16"/>
      <c r="AL30" s="16"/>
      <c r="AM30" s="16"/>
      <c r="AN30" s="44"/>
      <c r="AO30" s="44"/>
      <c r="AP30" s="44"/>
      <c r="AQ30" s="44"/>
      <c r="AR30" s="16"/>
    </row>
    <row r="31" spans="5:67" ht="16.5" customHeight="1" x14ac:dyDescent="0.2">
      <c r="E31" s="44"/>
      <c r="F31" s="44"/>
      <c r="G31" s="44"/>
      <c r="H31" s="44"/>
      <c r="I31" s="16"/>
      <c r="J31" s="16"/>
      <c r="K31" s="16"/>
      <c r="L31" s="16"/>
      <c r="M31" s="45" t="s">
        <v>196</v>
      </c>
      <c r="N31" s="46"/>
      <c r="O31" s="47"/>
      <c r="P31" s="16"/>
      <c r="Q31" s="16"/>
      <c r="R31" s="16"/>
      <c r="S31" s="16"/>
      <c r="T31" s="16"/>
      <c r="X31" s="16"/>
      <c r="Y31" s="26"/>
      <c r="Z31" s="36"/>
      <c r="AA31" s="36"/>
      <c r="AB31" s="36"/>
      <c r="AC31" s="36"/>
      <c r="AD31" s="36"/>
      <c r="AE31" s="36"/>
      <c r="AF31" s="36"/>
      <c r="AG31" s="36"/>
      <c r="AH31" s="36"/>
      <c r="AI31" s="16"/>
      <c r="AJ31" s="16"/>
      <c r="AK31" s="16"/>
      <c r="AL31" s="16"/>
      <c r="AM31" s="16"/>
      <c r="AN31" s="44"/>
      <c r="AO31" s="44"/>
      <c r="AP31" s="44"/>
      <c r="AQ31" s="44"/>
      <c r="AR31" s="16"/>
    </row>
    <row r="32" spans="5:67" ht="16.5" customHeight="1" x14ac:dyDescent="0.2">
      <c r="E32" s="44"/>
      <c r="F32" s="44"/>
      <c r="G32" s="44"/>
      <c r="H32" s="44"/>
      <c r="I32" s="16"/>
      <c r="J32" s="16"/>
      <c r="K32" s="16"/>
      <c r="L32" s="16"/>
      <c r="M32" s="19" t="s">
        <v>15</v>
      </c>
      <c r="N32" s="5">
        <v>50</v>
      </c>
      <c r="O32" s="11" t="s">
        <v>2</v>
      </c>
      <c r="P32" s="16"/>
      <c r="Q32" s="16"/>
      <c r="R32" s="16"/>
      <c r="S32" s="16"/>
      <c r="T32" s="16"/>
      <c r="X32" s="16"/>
      <c r="Y32" s="26"/>
      <c r="Z32" s="36"/>
      <c r="AA32" s="36"/>
      <c r="AB32" s="36"/>
      <c r="AC32" s="36"/>
      <c r="AD32" s="36"/>
      <c r="AE32" s="36"/>
      <c r="AF32" s="36"/>
      <c r="AG32" s="36"/>
      <c r="AH32" s="36"/>
      <c r="AI32" s="16"/>
      <c r="AJ32" s="16"/>
      <c r="AK32" s="16"/>
      <c r="AL32" s="16"/>
      <c r="AM32" s="16"/>
      <c r="AN32" s="44"/>
      <c r="AO32" s="44"/>
      <c r="AP32" s="44"/>
      <c r="AQ32" s="44"/>
      <c r="AR32" s="16"/>
    </row>
    <row r="33" spans="1:194" ht="16.5" customHeight="1" x14ac:dyDescent="0.2">
      <c r="E33" s="44"/>
      <c r="F33" s="44"/>
      <c r="G33" s="44"/>
      <c r="H33" s="44"/>
      <c r="I33" s="16"/>
      <c r="J33" s="16"/>
      <c r="K33" s="16"/>
      <c r="L33" s="16"/>
      <c r="M33" s="19" t="s">
        <v>166</v>
      </c>
      <c r="N33" s="5">
        <v>90</v>
      </c>
      <c r="O33" s="11" t="s">
        <v>13</v>
      </c>
      <c r="P33" s="16"/>
      <c r="Q33" s="16"/>
      <c r="R33" s="16"/>
      <c r="S33" s="16"/>
      <c r="T33" s="16"/>
      <c r="X33" s="16"/>
      <c r="Y33" s="26"/>
      <c r="Z33" s="36"/>
      <c r="AA33" s="36"/>
      <c r="AB33" s="36"/>
      <c r="AC33" s="36"/>
      <c r="AD33" s="36"/>
      <c r="AE33" s="36"/>
      <c r="AF33" s="36"/>
      <c r="AG33" s="36"/>
      <c r="AH33" s="36"/>
      <c r="AI33" s="16"/>
      <c r="AJ33" s="16"/>
      <c r="AK33" s="16"/>
      <c r="AL33" s="16"/>
      <c r="AM33" s="16"/>
      <c r="AN33" s="44"/>
      <c r="AO33" s="44"/>
      <c r="AP33" s="44"/>
      <c r="AQ33" s="44"/>
      <c r="AR33" s="16"/>
    </row>
    <row r="34" spans="1:194" ht="16.5" customHeight="1" x14ac:dyDescent="0.2">
      <c r="E34" s="44"/>
      <c r="F34" s="44"/>
      <c r="G34" s="44"/>
      <c r="H34" s="44"/>
      <c r="I34" s="16"/>
      <c r="J34" s="16"/>
      <c r="K34" s="16"/>
      <c r="L34" s="16"/>
      <c r="M34" s="19" t="s">
        <v>177</v>
      </c>
      <c r="N34" s="7">
        <v>250</v>
      </c>
      <c r="O34" s="11" t="s">
        <v>3</v>
      </c>
      <c r="P34" s="16"/>
      <c r="Q34" s="16"/>
      <c r="R34" s="16"/>
      <c r="S34" s="16"/>
      <c r="T34" s="16"/>
      <c r="X34" s="16"/>
      <c r="Y34" s="26"/>
      <c r="Z34" s="36"/>
      <c r="AA34" s="36"/>
      <c r="AB34" s="36"/>
      <c r="AC34" s="36"/>
      <c r="AD34" s="36"/>
      <c r="AE34" s="36"/>
      <c r="AF34" s="36"/>
      <c r="AG34" s="36"/>
      <c r="AH34" s="36"/>
      <c r="AI34" s="16"/>
      <c r="AJ34" s="16"/>
      <c r="AK34" s="16"/>
      <c r="AL34" s="16"/>
      <c r="AM34" s="16"/>
      <c r="AN34" s="44"/>
      <c r="AO34" s="44"/>
      <c r="AP34" s="44"/>
      <c r="AQ34" s="44"/>
      <c r="AR34" s="16"/>
    </row>
    <row r="35" spans="1:194" ht="16.5" customHeight="1" x14ac:dyDescent="0.2">
      <c r="E35" s="44"/>
      <c r="F35" s="44"/>
      <c r="G35" s="44"/>
      <c r="H35" s="44"/>
      <c r="I35" s="16"/>
      <c r="J35" s="16"/>
      <c r="K35" s="16"/>
      <c r="L35" s="16"/>
      <c r="M35" s="19" t="s">
        <v>14</v>
      </c>
      <c r="N35" s="5">
        <v>95</v>
      </c>
      <c r="O35" s="11" t="s">
        <v>4</v>
      </c>
      <c r="P35" s="16"/>
      <c r="Q35" s="16"/>
      <c r="R35" s="16"/>
      <c r="S35" s="16"/>
      <c r="T35" s="16"/>
      <c r="X35" s="16"/>
      <c r="Y35" s="26"/>
      <c r="Z35" s="36"/>
      <c r="AA35" s="36"/>
      <c r="AB35" s="36"/>
      <c r="AC35" s="36"/>
      <c r="AD35" s="36"/>
      <c r="AE35" s="36"/>
      <c r="AF35" s="36"/>
      <c r="AG35" s="36"/>
      <c r="AH35" s="36"/>
      <c r="AI35" s="16"/>
      <c r="AJ35" s="16"/>
      <c r="AK35" s="16"/>
      <c r="AL35" s="16"/>
      <c r="AM35" s="16"/>
      <c r="AN35" s="44"/>
      <c r="AO35" s="44"/>
      <c r="AP35" s="44"/>
      <c r="AQ35" s="44"/>
      <c r="AR35" s="16"/>
    </row>
    <row r="36" spans="1:194" ht="16.5" customHeight="1" x14ac:dyDescent="0.2">
      <c r="E36" s="44"/>
      <c r="F36" s="44"/>
      <c r="G36" s="44"/>
      <c r="H36" s="44"/>
      <c r="I36" s="16"/>
      <c r="J36" s="16"/>
      <c r="K36" s="16"/>
      <c r="L36" s="16"/>
      <c r="M36" s="19" t="s">
        <v>178</v>
      </c>
      <c r="N36" s="5">
        <v>200</v>
      </c>
      <c r="O36" s="11" t="s">
        <v>28</v>
      </c>
      <c r="P36" s="16"/>
      <c r="Q36" s="16"/>
      <c r="R36" s="16"/>
      <c r="S36" s="16"/>
      <c r="T36" s="16"/>
      <c r="X36" s="16"/>
      <c r="Y36" s="26"/>
      <c r="Z36" s="36"/>
      <c r="AA36" s="36"/>
      <c r="AB36" s="36"/>
      <c r="AC36" s="36"/>
      <c r="AD36" s="36"/>
      <c r="AE36" s="36"/>
      <c r="AF36" s="36"/>
      <c r="AG36" s="36"/>
      <c r="AH36" s="36"/>
      <c r="AI36" s="16"/>
      <c r="AJ36" s="16"/>
      <c r="AK36" s="16"/>
      <c r="AL36" s="16"/>
      <c r="AM36" s="16"/>
      <c r="AN36" s="44"/>
      <c r="AO36" s="44"/>
      <c r="AP36" s="44"/>
      <c r="AQ36" s="44"/>
      <c r="AR36" s="16"/>
    </row>
    <row r="37" spans="1:194" ht="16.5" customHeight="1" x14ac:dyDescent="0.2">
      <c r="E37" s="44"/>
      <c r="F37" s="44"/>
      <c r="G37" s="44"/>
      <c r="H37" s="44"/>
      <c r="I37" s="16"/>
      <c r="J37" s="16"/>
      <c r="K37" s="16"/>
      <c r="L37" s="16"/>
      <c r="M37" s="21" t="s">
        <v>220</v>
      </c>
      <c r="N37" s="29">
        <f>Iout.ff/Iout.max.sim*100</f>
        <v>87.261299999999991</v>
      </c>
      <c r="O37" s="12" t="s">
        <v>4</v>
      </c>
      <c r="P37" s="16"/>
      <c r="Q37" s="16"/>
      <c r="R37" s="16"/>
      <c r="S37" s="16"/>
      <c r="T37" s="16"/>
      <c r="X37" s="16"/>
      <c r="Y37" s="26"/>
      <c r="Z37" s="36"/>
      <c r="AA37" s="36"/>
      <c r="AB37" s="36"/>
      <c r="AC37" s="36"/>
      <c r="AD37" s="36"/>
      <c r="AE37" s="36"/>
      <c r="AF37" s="36"/>
      <c r="AG37" s="36"/>
      <c r="AH37" s="36"/>
      <c r="AI37" s="16"/>
      <c r="AJ37" s="16"/>
      <c r="AK37" s="16"/>
      <c r="AL37" s="16"/>
      <c r="AM37" s="16"/>
      <c r="AN37" s="44"/>
      <c r="AO37" s="44"/>
      <c r="AP37" s="44"/>
      <c r="AQ37" s="44"/>
      <c r="AR37" s="16"/>
    </row>
    <row r="38" spans="1:194" ht="16.5" customHeight="1" x14ac:dyDescent="0.2">
      <c r="E38" s="44"/>
      <c r="F38" s="44"/>
      <c r="G38" s="44"/>
      <c r="H38" s="44"/>
      <c r="I38" s="16"/>
      <c r="J38" s="16"/>
      <c r="K38" s="16"/>
      <c r="L38" s="16"/>
      <c r="M38" s="19" t="s">
        <v>187</v>
      </c>
      <c r="N38" s="5">
        <v>100</v>
      </c>
      <c r="O38" s="11" t="s">
        <v>4</v>
      </c>
      <c r="P38" s="16"/>
      <c r="Q38" s="16"/>
      <c r="R38" s="16"/>
      <c r="S38" s="16"/>
      <c r="T38" s="16"/>
      <c r="X38" s="16"/>
      <c r="Y38" s="26"/>
      <c r="Z38" s="36"/>
      <c r="AA38" s="36"/>
      <c r="AB38" s="36"/>
      <c r="AC38" s="36"/>
      <c r="AD38" s="36"/>
      <c r="AE38" s="36"/>
      <c r="AF38" s="36"/>
      <c r="AG38" s="36"/>
      <c r="AH38" s="36"/>
      <c r="AI38" s="16"/>
      <c r="AJ38" s="16"/>
      <c r="AK38" s="16"/>
      <c r="AL38" s="16"/>
      <c r="AM38" s="16"/>
      <c r="AN38" s="44"/>
      <c r="AO38" s="44"/>
      <c r="AP38" s="44"/>
      <c r="AQ38" s="44"/>
      <c r="AR38" s="16"/>
    </row>
    <row r="39" spans="1:194" ht="16.5" customHeight="1" x14ac:dyDescent="0.2">
      <c r="B39" s="44"/>
      <c r="C39" s="44"/>
      <c r="D39" s="44"/>
      <c r="E39" s="44"/>
      <c r="F39" s="44"/>
      <c r="G39" s="44"/>
      <c r="H39" s="44"/>
      <c r="I39" s="16"/>
      <c r="J39" s="16"/>
      <c r="K39" s="16"/>
      <c r="L39" s="16"/>
      <c r="M39" s="19" t="s">
        <v>188</v>
      </c>
      <c r="N39" s="5">
        <v>75</v>
      </c>
      <c r="O39" s="11" t="s">
        <v>4</v>
      </c>
      <c r="P39" s="16"/>
      <c r="Q39" s="16"/>
      <c r="R39" s="16"/>
      <c r="S39" s="16"/>
      <c r="T39" s="16"/>
      <c r="X39" s="16"/>
      <c r="Y39" s="26"/>
      <c r="Z39" s="36"/>
      <c r="AA39" s="36"/>
      <c r="AB39" s="36"/>
      <c r="AC39" s="36"/>
      <c r="AD39" s="36"/>
      <c r="AE39" s="36"/>
      <c r="AF39" s="36"/>
      <c r="AG39" s="36"/>
      <c r="AH39" s="36"/>
      <c r="AI39" s="16"/>
      <c r="AJ39" s="16"/>
      <c r="AK39" s="16"/>
      <c r="AL39" s="16"/>
      <c r="AM39" s="16"/>
      <c r="AN39" s="44"/>
      <c r="AO39" s="44"/>
      <c r="AP39" s="44"/>
      <c r="AQ39" s="44"/>
      <c r="AR39" s="16"/>
    </row>
    <row r="40" spans="1:194" ht="16.5" customHeight="1" x14ac:dyDescent="0.2">
      <c r="H40" s="44"/>
      <c r="I40" s="16"/>
      <c r="J40" s="16"/>
      <c r="K40" s="16"/>
      <c r="L40" s="16"/>
      <c r="M40" s="19" t="s">
        <v>189</v>
      </c>
      <c r="N40" s="5">
        <v>50</v>
      </c>
      <c r="O40" s="11" t="s">
        <v>4</v>
      </c>
      <c r="P40" s="16"/>
      <c r="Q40" s="16"/>
      <c r="R40" s="16"/>
      <c r="S40" s="16"/>
      <c r="T40" s="16"/>
      <c r="X40" s="16"/>
      <c r="Y40" s="26"/>
      <c r="Z40" s="36"/>
      <c r="AA40" s="36"/>
      <c r="AB40" s="36"/>
      <c r="AC40" s="36"/>
      <c r="AD40" s="36"/>
      <c r="AE40" s="36"/>
      <c r="AF40" s="36"/>
      <c r="AG40" s="36"/>
      <c r="AH40" s="36"/>
      <c r="AI40" s="16"/>
      <c r="AJ40" s="16"/>
      <c r="AK40" s="16"/>
      <c r="AL40" s="16"/>
      <c r="AM40" s="16"/>
      <c r="AN40" s="44"/>
      <c r="AO40" s="44"/>
      <c r="AP40" s="44"/>
      <c r="AQ40" s="44"/>
      <c r="AR40" s="16"/>
    </row>
    <row r="41" spans="1:194" ht="16.5" customHeight="1" x14ac:dyDescent="0.2">
      <c r="H41" s="44"/>
      <c r="I41" s="16"/>
      <c r="J41" s="16"/>
      <c r="K41" s="16"/>
      <c r="L41" s="16"/>
      <c r="M41" s="19" t="s">
        <v>190</v>
      </c>
      <c r="N41" s="5">
        <v>25</v>
      </c>
      <c r="O41" s="11" t="s">
        <v>4</v>
      </c>
      <c r="P41" s="16"/>
      <c r="Q41" s="16"/>
      <c r="R41" s="16"/>
      <c r="S41" s="16"/>
      <c r="T41" s="16"/>
      <c r="U41" s="16"/>
      <c r="V41" s="16"/>
      <c r="W41" s="16"/>
      <c r="X41" s="16"/>
      <c r="Y41" s="26"/>
      <c r="Z41" s="36"/>
      <c r="AA41" s="36"/>
      <c r="AB41" s="36"/>
      <c r="AC41" s="36"/>
      <c r="AD41" s="36"/>
      <c r="AE41" s="36"/>
      <c r="AF41" s="36"/>
      <c r="AG41" s="36"/>
      <c r="AH41" s="36"/>
      <c r="AI41" s="16"/>
      <c r="AJ41" s="16"/>
      <c r="AK41" s="16"/>
      <c r="AL41" s="16"/>
      <c r="AM41" s="16"/>
      <c r="AN41" s="44"/>
      <c r="AO41" s="44"/>
      <c r="AP41" s="44"/>
      <c r="AQ41" s="44"/>
      <c r="AR41" s="16"/>
    </row>
    <row r="42" spans="1:194" ht="16.5" customHeight="1" x14ac:dyDescent="0.2">
      <c r="H42" s="44"/>
      <c r="I42" s="16"/>
      <c r="J42" s="16"/>
      <c r="K42" s="16"/>
      <c r="L42" s="16"/>
      <c r="M42" s="16"/>
      <c r="N42" s="16"/>
      <c r="O42" s="16"/>
      <c r="P42" s="16"/>
      <c r="Q42" s="16"/>
      <c r="R42" s="16"/>
      <c r="S42" s="16"/>
      <c r="T42" s="16"/>
      <c r="U42" s="16"/>
      <c r="V42" s="16"/>
      <c r="W42" s="16"/>
      <c r="X42" s="16"/>
      <c r="Y42" s="26"/>
      <c r="Z42" s="36"/>
      <c r="AA42" s="36"/>
      <c r="AB42" s="36"/>
      <c r="AC42" s="36"/>
      <c r="AD42" s="36"/>
      <c r="AE42" s="36"/>
      <c r="AF42" s="36"/>
      <c r="AG42" s="36"/>
      <c r="AH42" s="36"/>
      <c r="AI42" s="16"/>
      <c r="AJ42" s="16"/>
      <c r="AK42" s="16"/>
      <c r="AL42" s="16"/>
      <c r="AM42" s="16"/>
      <c r="AN42" s="44"/>
      <c r="AO42" s="44"/>
      <c r="AP42" s="44"/>
      <c r="AQ42" s="44"/>
      <c r="AR42" s="15"/>
      <c r="AS42" s="1"/>
      <c r="AT42" s="1"/>
      <c r="AU42" s="1"/>
      <c r="AV42" s="1"/>
      <c r="AW42" s="1"/>
      <c r="AX42" s="1"/>
      <c r="AY42" s="1"/>
      <c r="AZ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row>
    <row r="43" spans="1:194" ht="16.5" customHeight="1" x14ac:dyDescent="0.2">
      <c r="H43" s="44"/>
      <c r="I43" s="16"/>
      <c r="J43" s="16"/>
      <c r="K43" s="16"/>
      <c r="L43" s="16"/>
      <c r="M43" s="16"/>
      <c r="N43" s="16"/>
      <c r="O43" s="16"/>
      <c r="P43" s="16"/>
      <c r="Q43" s="16"/>
      <c r="R43" s="16"/>
      <c r="S43" s="16"/>
      <c r="T43" s="16"/>
      <c r="U43" s="16"/>
      <c r="V43" s="16"/>
      <c r="W43" s="16"/>
      <c r="X43" s="16"/>
      <c r="Y43" s="26"/>
      <c r="Z43" s="36"/>
      <c r="AA43" s="36"/>
      <c r="AB43" s="36"/>
      <c r="AC43" s="36"/>
      <c r="AD43" s="36"/>
      <c r="AE43" s="36"/>
      <c r="AF43" s="36"/>
      <c r="AG43" s="36"/>
      <c r="AH43" s="36"/>
      <c r="AI43" s="16"/>
      <c r="AJ43" s="16"/>
      <c r="AK43" s="16"/>
      <c r="AL43" s="16"/>
      <c r="AM43" s="16"/>
      <c r="AN43" s="44"/>
      <c r="AO43" s="44"/>
      <c r="AP43" s="44"/>
      <c r="AQ43" s="44"/>
      <c r="AR43" s="15"/>
      <c r="AS43" s="1"/>
      <c r="AT43" s="1"/>
      <c r="AU43" s="1"/>
      <c r="AV43" s="1"/>
      <c r="AW43" s="1"/>
      <c r="AX43" s="1"/>
      <c r="AY43" s="1"/>
      <c r="AZ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row>
    <row r="44" spans="1:194" ht="16.5" customHeight="1" x14ac:dyDescent="0.2">
      <c r="E44" s="44"/>
      <c r="F44" s="44"/>
      <c r="G44" s="44"/>
      <c r="H44" s="44"/>
      <c r="I44" s="16"/>
      <c r="J44" s="16"/>
      <c r="K44" s="16"/>
      <c r="L44" s="16"/>
      <c r="M44" s="16"/>
      <c r="N44" s="16"/>
      <c r="O44" s="16"/>
      <c r="P44" s="16"/>
      <c r="Q44" s="16"/>
      <c r="R44" s="16"/>
      <c r="S44" s="16"/>
      <c r="T44" s="16"/>
      <c r="U44" s="16"/>
      <c r="V44" s="16"/>
      <c r="W44" s="16"/>
      <c r="X44" s="16"/>
      <c r="Y44" s="26"/>
      <c r="Z44" s="36"/>
      <c r="AA44" s="36"/>
      <c r="AB44" s="36"/>
      <c r="AC44" s="36"/>
      <c r="AD44" s="36"/>
      <c r="AE44" s="36"/>
      <c r="AF44" s="36"/>
      <c r="AG44" s="36"/>
      <c r="AH44" s="36"/>
      <c r="AI44" s="16"/>
      <c r="AJ44" s="16"/>
      <c r="AK44" s="16"/>
      <c r="AL44" s="16"/>
      <c r="AM44" s="16"/>
      <c r="AN44" s="44"/>
      <c r="AO44" s="44"/>
      <c r="AP44" s="44"/>
      <c r="AQ44" s="44"/>
      <c r="AR44" s="15"/>
      <c r="AS44" s="1"/>
      <c r="AT44" s="1"/>
      <c r="AU44" s="1"/>
      <c r="AV44" s="1"/>
      <c r="AW44" s="1"/>
      <c r="AX44" s="1"/>
      <c r="AY44" s="1"/>
      <c r="AZ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row>
    <row r="45" spans="1:194" ht="16.5" customHeight="1" x14ac:dyDescent="0.2">
      <c r="E45" s="44"/>
      <c r="F45" s="44"/>
      <c r="G45" s="44"/>
      <c r="H45" s="44"/>
      <c r="I45" s="16"/>
      <c r="J45" s="16"/>
      <c r="K45" s="16"/>
      <c r="L45" s="16"/>
      <c r="M45" s="16"/>
      <c r="N45" s="16"/>
      <c r="O45" s="16"/>
      <c r="P45" s="16"/>
      <c r="Q45" s="16"/>
      <c r="R45" s="16"/>
      <c r="S45" s="16"/>
      <c r="T45" s="16"/>
      <c r="U45" s="16"/>
      <c r="V45" s="16"/>
      <c r="W45" s="16"/>
      <c r="X45" s="16"/>
      <c r="Y45" s="26"/>
      <c r="Z45" s="36"/>
      <c r="AA45" s="36"/>
      <c r="AB45" s="36"/>
      <c r="AC45" s="36"/>
      <c r="AD45" s="36"/>
      <c r="AE45" s="36"/>
      <c r="AF45" s="36"/>
      <c r="AG45" s="36"/>
      <c r="AH45" s="36"/>
      <c r="AI45" s="16"/>
      <c r="AJ45" s="16"/>
      <c r="AK45" s="16"/>
      <c r="AL45" s="16"/>
      <c r="AM45" s="16"/>
      <c r="AN45" s="44"/>
      <c r="AO45" s="44"/>
      <c r="AP45" s="44"/>
      <c r="AQ45" s="44"/>
      <c r="AR45" s="15"/>
      <c r="AS45" s="1"/>
      <c r="AT45" s="1"/>
      <c r="AU45" s="1"/>
      <c r="AV45" s="1"/>
      <c r="AW45" s="1"/>
      <c r="AX45" s="1"/>
      <c r="AY45" s="1"/>
      <c r="AZ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row>
    <row r="46" spans="1:194" ht="16.5" customHeight="1" x14ac:dyDescent="0.2">
      <c r="B46" s="44"/>
      <c r="C46" s="44"/>
      <c r="D46" s="44"/>
      <c r="E46" s="44"/>
      <c r="F46" s="44"/>
      <c r="G46" s="44"/>
      <c r="H46" s="44"/>
      <c r="I46" s="16"/>
      <c r="J46" s="16"/>
      <c r="K46" s="16"/>
      <c r="L46" s="16"/>
      <c r="M46" s="16"/>
      <c r="N46" s="16"/>
      <c r="O46" s="16"/>
      <c r="P46" s="16"/>
      <c r="Q46" s="16"/>
      <c r="R46" s="16"/>
      <c r="S46" s="16"/>
      <c r="T46" s="16"/>
      <c r="U46" s="16"/>
      <c r="V46" s="16"/>
      <c r="W46" s="16"/>
      <c r="X46" s="16"/>
      <c r="Y46" s="26"/>
      <c r="Z46" s="36"/>
      <c r="AA46" s="36"/>
      <c r="AB46" s="36"/>
      <c r="AC46" s="36"/>
      <c r="AD46" s="36"/>
      <c r="AE46" s="36"/>
      <c r="AF46" s="36"/>
      <c r="AG46" s="36"/>
      <c r="AH46" s="36"/>
      <c r="AI46" s="16"/>
      <c r="AJ46" s="16"/>
      <c r="AK46" s="16"/>
      <c r="AL46" s="16"/>
      <c r="AM46" s="16"/>
      <c r="AN46" s="44"/>
      <c r="AO46" s="44"/>
      <c r="AP46" s="44"/>
      <c r="AQ46" s="44"/>
      <c r="AR46" s="15"/>
      <c r="AS46" s="1"/>
      <c r="AT46" s="1"/>
      <c r="AU46" s="1"/>
      <c r="AV46" s="1"/>
      <c r="AW46" s="1"/>
      <c r="AX46" s="1"/>
      <c r="AY46" s="1"/>
      <c r="AZ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row>
    <row r="47" spans="1:194" ht="16.5" customHeight="1" x14ac:dyDescent="0.2">
      <c r="B47" s="44"/>
      <c r="C47" s="44"/>
      <c r="D47" s="44"/>
      <c r="E47" s="44"/>
      <c r="F47" s="44"/>
      <c r="G47" s="44"/>
      <c r="H47" s="44"/>
      <c r="I47" s="16"/>
      <c r="J47" s="16"/>
      <c r="K47" s="16"/>
      <c r="L47" s="16"/>
      <c r="Y47" s="38"/>
      <c r="Z47" s="40"/>
      <c r="AA47" s="40"/>
      <c r="AB47" s="40"/>
      <c r="AC47" s="40"/>
      <c r="AD47" s="40"/>
      <c r="AE47" s="40"/>
      <c r="AF47" s="40"/>
      <c r="AG47" s="40"/>
      <c r="AH47" s="40"/>
      <c r="AI47" s="40"/>
      <c r="AJ47" s="40"/>
      <c r="AK47" s="40"/>
      <c r="AL47" s="40"/>
      <c r="AM47" s="40"/>
      <c r="AN47" s="38"/>
      <c r="AO47" s="38"/>
      <c r="AP47" s="38"/>
      <c r="AQ47" s="38"/>
      <c r="AR47" s="42"/>
      <c r="AS47" s="42"/>
      <c r="AT47" s="42"/>
      <c r="AU47" s="42"/>
      <c r="AV47" s="42"/>
      <c r="AW47" s="42"/>
      <c r="AX47" s="42"/>
      <c r="AY47" s="42"/>
      <c r="AZ47" s="42"/>
      <c r="BA47" s="38"/>
      <c r="BB47" s="38"/>
      <c r="BC47" s="38"/>
      <c r="BD47" s="38"/>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row>
    <row r="48" spans="1:194" ht="16.5" customHeight="1" x14ac:dyDescent="0.2">
      <c r="A48" s="1"/>
      <c r="B48" s="44"/>
      <c r="C48" s="44"/>
      <c r="D48" s="44"/>
      <c r="E48" s="44"/>
      <c r="F48" s="44"/>
      <c r="G48" s="44"/>
      <c r="H48" s="44"/>
      <c r="I48" s="16"/>
      <c r="J48" s="16"/>
      <c r="K48" s="16"/>
      <c r="L48" s="15"/>
      <c r="Y48" s="38"/>
      <c r="Z48" s="40"/>
      <c r="AA48" s="40"/>
      <c r="AB48" s="40"/>
      <c r="AC48" s="40"/>
      <c r="AD48" s="40"/>
      <c r="AE48" s="40"/>
      <c r="AF48" s="40"/>
      <c r="AG48" s="40"/>
      <c r="AH48" s="40"/>
      <c r="AI48" s="40"/>
      <c r="AJ48" s="40"/>
      <c r="AK48" s="40"/>
      <c r="AL48" s="40"/>
      <c r="AM48" s="40"/>
      <c r="AN48" s="38"/>
      <c r="AO48" s="38"/>
      <c r="AP48" s="38"/>
      <c r="AQ48" s="38"/>
      <c r="AR48" s="42"/>
      <c r="AS48" s="42"/>
      <c r="AT48" s="42"/>
      <c r="AU48" s="42"/>
      <c r="AV48" s="42"/>
      <c r="AW48" s="42"/>
      <c r="AX48" s="42"/>
      <c r="AY48" s="42"/>
      <c r="AZ48" s="42"/>
      <c r="BA48" s="38"/>
      <c r="BB48" s="38"/>
      <c r="BC48" s="38"/>
      <c r="BD48" s="38"/>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row>
    <row r="49" spans="1:194" ht="16.5" customHeight="1" x14ac:dyDescent="0.2">
      <c r="A49" s="1"/>
      <c r="B49" s="44"/>
      <c r="C49" s="44"/>
      <c r="D49" s="44"/>
      <c r="E49" s="44"/>
      <c r="F49" s="44"/>
      <c r="G49" s="44"/>
      <c r="H49" s="44"/>
      <c r="I49" s="16"/>
      <c r="J49" s="16"/>
      <c r="K49" s="16"/>
      <c r="L49" s="15"/>
      <c r="M49" s="38" t="s">
        <v>23</v>
      </c>
      <c r="N49" s="38">
        <f>VLOOKUP(option,Y51:AC52,2)</f>
        <v>1.08E-5</v>
      </c>
      <c r="O49" s="38" t="s">
        <v>26</v>
      </c>
      <c r="P49" s="39"/>
      <c r="Q49" s="38" t="s">
        <v>29</v>
      </c>
      <c r="R49" s="38">
        <f>Vline.min^2*Ton.max/2/Pin.max</f>
        <v>4.1553000000000006E-4</v>
      </c>
      <c r="S49" s="38" t="s">
        <v>30</v>
      </c>
      <c r="U49" s="38" t="s">
        <v>82</v>
      </c>
      <c r="V49" s="38">
        <f>25*10^-6</f>
        <v>2.4999999999999998E-5</v>
      </c>
      <c r="W49" s="38" t="s">
        <v>8</v>
      </c>
      <c r="Y49" s="38">
        <v>1</v>
      </c>
      <c r="Z49" s="38">
        <v>2</v>
      </c>
      <c r="AA49" s="38">
        <v>3</v>
      </c>
      <c r="AB49" s="38">
        <v>4</v>
      </c>
      <c r="AC49" s="38">
        <v>5</v>
      </c>
      <c r="AD49" s="38">
        <v>6</v>
      </c>
      <c r="AE49" s="38">
        <v>7</v>
      </c>
      <c r="AF49" s="38">
        <v>8</v>
      </c>
      <c r="AG49" s="38">
        <v>9</v>
      </c>
      <c r="AH49" s="38">
        <v>10</v>
      </c>
      <c r="AI49" s="38">
        <v>11</v>
      </c>
      <c r="AJ49" s="38">
        <v>12</v>
      </c>
      <c r="AK49" s="38">
        <v>13</v>
      </c>
      <c r="AL49" s="40"/>
      <c r="AM49" s="38" t="s">
        <v>172</v>
      </c>
      <c r="AN49" s="38">
        <v>1.6699999999999998E-11</v>
      </c>
      <c r="AO49" s="38"/>
      <c r="AP49" s="38"/>
      <c r="AQ49" s="38"/>
      <c r="AR49" s="38"/>
      <c r="AS49" s="38"/>
      <c r="AT49" s="38"/>
      <c r="AU49" s="38"/>
      <c r="AV49" s="42"/>
      <c r="AW49" s="42"/>
      <c r="AX49" s="42"/>
      <c r="AY49" s="42"/>
      <c r="AZ49" s="42"/>
      <c r="BA49" s="38"/>
      <c r="BB49" s="38"/>
      <c r="BC49" s="38"/>
      <c r="BD49" s="38"/>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row>
    <row r="50" spans="1:194" ht="16.5" customHeight="1" x14ac:dyDescent="0.2">
      <c r="A50" s="1"/>
      <c r="E50" s="44"/>
      <c r="F50" s="44"/>
      <c r="G50" s="44"/>
      <c r="H50" s="44"/>
      <c r="I50" s="16"/>
      <c r="J50" s="16"/>
      <c r="K50" s="16"/>
      <c r="L50" s="15"/>
      <c r="M50" s="38" t="s">
        <v>104</v>
      </c>
      <c r="N50" s="38">
        <f>VLOOKUP(option,Y51:AC52,3)</f>
        <v>4.9999999999999996E-6</v>
      </c>
      <c r="O50" s="38" t="s">
        <v>26</v>
      </c>
      <c r="P50" s="39"/>
      <c r="Q50" s="38" t="s">
        <v>32</v>
      </c>
      <c r="R50" s="38">
        <f>R5/10^6</f>
        <v>2.0000000000000001E-4</v>
      </c>
      <c r="S50" s="38" t="s">
        <v>30</v>
      </c>
      <c r="U50" s="38" t="s">
        <v>84</v>
      </c>
      <c r="V50" s="38">
        <f>V4*10^-3</f>
        <v>2.7E-2</v>
      </c>
      <c r="W50" s="38" t="s">
        <v>19</v>
      </c>
      <c r="Y50" s="38" t="s">
        <v>64</v>
      </c>
      <c r="Z50" s="38" t="s">
        <v>23</v>
      </c>
      <c r="AA50" s="38" t="s">
        <v>104</v>
      </c>
      <c r="AB50" s="38" t="s">
        <v>41</v>
      </c>
      <c r="AC50" s="38" t="s">
        <v>44</v>
      </c>
      <c r="AD50" s="38" t="s">
        <v>65</v>
      </c>
      <c r="AE50" s="38" t="s">
        <v>138</v>
      </c>
      <c r="AF50" s="38" t="s">
        <v>139</v>
      </c>
      <c r="AG50" s="38" t="s">
        <v>144</v>
      </c>
      <c r="AH50" s="38" t="s">
        <v>145</v>
      </c>
      <c r="AI50" s="38" t="s">
        <v>152</v>
      </c>
      <c r="AJ50" s="38" t="s">
        <v>175</v>
      </c>
      <c r="AK50" s="38" t="s">
        <v>176</v>
      </c>
      <c r="AL50" s="40"/>
      <c r="AM50" s="38" t="s">
        <v>174</v>
      </c>
      <c r="AN50" s="38"/>
      <c r="AO50" s="38"/>
      <c r="AP50" s="38" t="s">
        <v>170</v>
      </c>
      <c r="AQ50" s="38"/>
      <c r="AR50" s="38"/>
      <c r="AS50" s="38" t="s">
        <v>171</v>
      </c>
      <c r="AT50" s="38"/>
      <c r="AU50" s="38"/>
      <c r="AV50" s="42"/>
      <c r="AW50" s="42"/>
      <c r="AX50" s="42"/>
      <c r="AY50" s="42"/>
      <c r="AZ50" s="42"/>
      <c r="BA50" s="38"/>
      <c r="BB50" s="38"/>
      <c r="BC50" s="38"/>
      <c r="BD50" s="38"/>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row>
    <row r="51" spans="1:194" ht="16.5" customHeight="1" x14ac:dyDescent="0.2">
      <c r="A51" s="1"/>
      <c r="E51" s="44"/>
      <c r="F51" s="44"/>
      <c r="G51" s="44"/>
      <c r="H51" s="44"/>
      <c r="I51" s="16"/>
      <c r="J51" s="16"/>
      <c r="K51" s="16"/>
      <c r="L51" s="15"/>
      <c r="M51" s="38" t="s">
        <v>25</v>
      </c>
      <c r="N51" s="38">
        <f>Po.max/Eff*100</f>
        <v>105.26315789473684</v>
      </c>
      <c r="O51" s="38" t="s">
        <v>19</v>
      </c>
      <c r="P51" s="39"/>
      <c r="Q51" s="38" t="s">
        <v>153</v>
      </c>
      <c r="R51" s="38">
        <f>0.5/Rsense</f>
        <v>4.166666666666667</v>
      </c>
      <c r="S51" s="38" t="s">
        <v>8</v>
      </c>
      <c r="U51" s="38" t="s">
        <v>89</v>
      </c>
      <c r="V51" s="41">
        <f>(Vo.HL-Vo.LL.input)/IFB.LL</f>
        <v>5600000.0000000009</v>
      </c>
      <c r="W51" s="38" t="s">
        <v>88</v>
      </c>
      <c r="Y51" s="38" t="s">
        <v>8</v>
      </c>
      <c r="Z51" s="38">
        <f>10.8*10^-6</f>
        <v>1.08E-5</v>
      </c>
      <c r="AA51" s="38">
        <f>5*10^-6</f>
        <v>4.9999999999999996E-6</v>
      </c>
      <c r="AB51" s="38" t="s">
        <v>42</v>
      </c>
      <c r="AC51" s="38" t="s">
        <v>43</v>
      </c>
      <c r="AD51" s="38" t="s">
        <v>66</v>
      </c>
      <c r="AE51" s="38">
        <v>1.8</v>
      </c>
      <c r="AF51" s="38">
        <v>1.55</v>
      </c>
      <c r="AG51" s="38" t="s">
        <v>146</v>
      </c>
      <c r="AH51" s="38" t="s">
        <v>146</v>
      </c>
      <c r="AI51" s="38" t="s">
        <v>146</v>
      </c>
      <c r="AJ51" s="38">
        <v>2.1800000000000002</v>
      </c>
      <c r="AK51" s="38">
        <v>90868.605506718799</v>
      </c>
      <c r="AL51" s="38"/>
      <c r="AM51" s="38" t="s">
        <v>173</v>
      </c>
      <c r="AN51" s="38">
        <v>0.92</v>
      </c>
      <c r="AO51" s="38">
        <v>1.1299999999999999</v>
      </c>
      <c r="AP51" s="38">
        <v>1.4</v>
      </c>
      <c r="AQ51" s="38">
        <v>1.23</v>
      </c>
      <c r="AR51" s="38">
        <v>1.65</v>
      </c>
      <c r="AS51" s="38">
        <v>2.1800000000000002</v>
      </c>
      <c r="AT51" s="38">
        <v>1.56</v>
      </c>
      <c r="AU51" s="38">
        <v>2.94</v>
      </c>
      <c r="AV51" s="42"/>
      <c r="AW51" s="42"/>
      <c r="AX51" s="42"/>
      <c r="AY51" s="42"/>
      <c r="AZ51" s="42"/>
      <c r="BA51" s="38"/>
      <c r="BB51" s="38"/>
      <c r="BC51" s="38"/>
      <c r="BD51" s="38"/>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row>
    <row r="52" spans="1:194" ht="16.5" customHeight="1" x14ac:dyDescent="0.2">
      <c r="A52" s="1"/>
      <c r="E52" s="44"/>
      <c r="F52" s="44"/>
      <c r="G52" s="44"/>
      <c r="H52" s="44"/>
      <c r="I52" s="15"/>
      <c r="J52" s="15"/>
      <c r="K52" s="15"/>
      <c r="L52" s="15"/>
      <c r="M52" s="38" t="s">
        <v>40</v>
      </c>
      <c r="N52" s="38">
        <f>IF(Bst.Follow="Y", Vo.LL.input, Vo.HL)</f>
        <v>250</v>
      </c>
      <c r="O52" s="38" t="s">
        <v>3</v>
      </c>
      <c r="P52" s="42"/>
      <c r="Q52" s="38" t="s">
        <v>69</v>
      </c>
      <c r="R52" s="38">
        <f>R6*10^-6</f>
        <v>6.3999999999999997E-5</v>
      </c>
      <c r="S52" s="38" t="s">
        <v>161</v>
      </c>
      <c r="U52" s="38" t="s">
        <v>91</v>
      </c>
      <c r="V52" s="41">
        <f>V51*2.5/(Vo.HL-2.5)</f>
        <v>36129.032258064522</v>
      </c>
      <c r="W52" s="38" t="s">
        <v>88</v>
      </c>
      <c r="Y52" s="38" t="s">
        <v>22</v>
      </c>
      <c r="Z52" s="38">
        <f>13.5*10^-6</f>
        <v>1.3499999999999999E-5</v>
      </c>
      <c r="AA52" s="38">
        <f>6.6*10^-6</f>
        <v>6.5999999999999995E-6</v>
      </c>
      <c r="AB52" s="38" t="s">
        <v>43</v>
      </c>
      <c r="AC52" s="38" t="s">
        <v>42</v>
      </c>
      <c r="AD52" s="38" t="s">
        <v>68</v>
      </c>
      <c r="AE52" s="38">
        <v>1.8</v>
      </c>
      <c r="AF52" s="38">
        <v>1.55</v>
      </c>
      <c r="AG52" s="38" t="s">
        <v>146</v>
      </c>
      <c r="AH52" s="38" t="s">
        <v>146</v>
      </c>
      <c r="AI52" s="38">
        <v>3.77</v>
      </c>
      <c r="AJ52" s="38">
        <v>2.1800000000000002</v>
      </c>
      <c r="AK52" s="38">
        <v>90868.605506718799</v>
      </c>
      <c r="AL52" s="38"/>
      <c r="AM52" s="38" t="s">
        <v>168</v>
      </c>
      <c r="AN52" s="38">
        <v>0.99001266713581981</v>
      </c>
      <c r="AO52" s="38">
        <v>3.5059174069627845</v>
      </c>
      <c r="AP52" s="38">
        <v>5.315380801671318</v>
      </c>
      <c r="AQ52" s="38">
        <v>3.0357512605042007</v>
      </c>
      <c r="AR52" s="38">
        <v>6.5907273497634327</v>
      </c>
      <c r="AS52" s="38">
        <v>8.6801326724238059</v>
      </c>
      <c r="AT52" s="38">
        <v>5.2662912907098312</v>
      </c>
      <c r="AU52" s="38">
        <v>12.354266381877423</v>
      </c>
      <c r="AV52" s="42"/>
      <c r="AW52" s="42"/>
      <c r="AX52" s="42"/>
      <c r="AY52" s="42"/>
      <c r="AZ52" s="42"/>
      <c r="BA52" s="38"/>
      <c r="BB52" s="38"/>
      <c r="BC52" s="38"/>
      <c r="BD52" s="38"/>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row>
    <row r="53" spans="1:194" ht="16.5" customHeight="1" x14ac:dyDescent="0.2">
      <c r="A53" s="1"/>
      <c r="E53" s="44"/>
      <c r="F53" s="44"/>
      <c r="G53" s="44"/>
      <c r="H53" s="44"/>
      <c r="I53" s="15"/>
      <c r="J53" s="15"/>
      <c r="K53" s="15"/>
      <c r="L53" s="15"/>
      <c r="M53" s="38" t="s">
        <v>138</v>
      </c>
      <c r="N53" s="38">
        <f>VLOOKUP(option,Y51:AF52,7)</f>
        <v>1.8</v>
      </c>
      <c r="O53" s="38" t="s">
        <v>3</v>
      </c>
      <c r="P53" s="42"/>
      <c r="Q53" s="38" t="s">
        <v>37</v>
      </c>
      <c r="R53" s="38">
        <f>(4/3*(Pin.max/Vline.min)^2*(1-8*2^0.5*Vline.min/3/PI()/Vo.LL))^0.5</f>
        <v>1.0176990477833228</v>
      </c>
      <c r="S53" s="38" t="s">
        <v>8</v>
      </c>
      <c r="U53" s="38" t="s">
        <v>92</v>
      </c>
      <c r="V53" s="41">
        <f>Vo.HL^2/Pd.RFB</f>
        <v>5633333.333333333</v>
      </c>
      <c r="W53" s="38" t="s">
        <v>88</v>
      </c>
      <c r="Y53" s="38" t="s">
        <v>41</v>
      </c>
      <c r="Z53" s="38" t="str">
        <f>VLOOKUP(option,Y51:AK52,4)</f>
        <v>Y</v>
      </c>
      <c r="AH53" s="40"/>
      <c r="AJ53" s="38"/>
      <c r="AK53" s="38"/>
      <c r="AL53" s="38"/>
      <c r="AM53" s="38" t="s">
        <v>169</v>
      </c>
      <c r="AN53" s="38">
        <v>3.247779111644657</v>
      </c>
      <c r="AO53" s="38">
        <v>8.8712484993997602</v>
      </c>
      <c r="AP53" s="38">
        <v>12.109003601440577</v>
      </c>
      <c r="AQ53" s="38">
        <v>7.2974789915966349</v>
      </c>
      <c r="AR53" s="38">
        <v>14.364405762304921</v>
      </c>
      <c r="AS53" s="38">
        <v>18.093337334933967</v>
      </c>
      <c r="AT53" s="38">
        <v>11.627851140456182</v>
      </c>
      <c r="AU53" s="38">
        <v>25.060024009603833</v>
      </c>
      <c r="AV53" s="40"/>
      <c r="AW53" s="42"/>
      <c r="AX53" s="42"/>
      <c r="AY53" s="42"/>
      <c r="AZ53" s="42"/>
      <c r="BA53" s="38"/>
      <c r="BB53" s="38"/>
      <c r="BC53" s="38"/>
      <c r="BD53" s="38"/>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row>
    <row r="54" spans="1:194" ht="16.5" customHeight="1" x14ac:dyDescent="0.2">
      <c r="A54" s="1"/>
      <c r="E54" s="44"/>
      <c r="F54" s="44"/>
      <c r="G54" s="44"/>
      <c r="H54" s="44"/>
      <c r="I54" s="15"/>
      <c r="J54" s="15"/>
      <c r="K54" s="15"/>
      <c r="L54" s="15"/>
      <c r="M54" s="38" t="s">
        <v>139</v>
      </c>
      <c r="N54" s="38">
        <f>VLOOKUP(option,Y51:AF52,8)</f>
        <v>1.55</v>
      </c>
      <c r="O54" s="38" t="s">
        <v>3</v>
      </c>
      <c r="P54" s="42"/>
      <c r="Q54" s="38" t="s">
        <v>49</v>
      </c>
      <c r="R54" s="38">
        <f>Po.max/(KVFB.pkpk/100)/Vo.HL/2/PI()/(fline*0.95)/Vo.LL</f>
        <v>5.7275733006530036E-5</v>
      </c>
      <c r="S54" s="38" t="s">
        <v>50</v>
      </c>
      <c r="U54" s="38" t="s">
        <v>93</v>
      </c>
      <c r="V54" s="41">
        <f>RFB.total-V55</f>
        <v>5597222.222222222</v>
      </c>
      <c r="W54" s="38" t="s">
        <v>88</v>
      </c>
      <c r="Y54" s="38" t="s">
        <v>175</v>
      </c>
      <c r="Z54" s="38">
        <f>VLOOKUP(option,Y51:AK52,12)</f>
        <v>2.1800000000000002</v>
      </c>
      <c r="AH54" s="40"/>
      <c r="AJ54" s="38"/>
      <c r="AK54" s="38"/>
      <c r="AL54" s="38"/>
      <c r="AM54" s="38" t="s">
        <v>167</v>
      </c>
      <c r="AN54" s="38">
        <v>87179.699465993283</v>
      </c>
      <c r="AO54" s="38">
        <v>138115.24609843941</v>
      </c>
      <c r="AP54" s="38">
        <v>122417.79828814644</v>
      </c>
      <c r="AQ54" s="38">
        <v>94677.871148459366</v>
      </c>
      <c r="AR54" s="38">
        <v>109626.20342254548</v>
      </c>
      <c r="AS54" s="38">
        <v>90868.605506718799</v>
      </c>
      <c r="AT54" s="38">
        <v>97329.254282358088</v>
      </c>
      <c r="AU54" s="38">
        <v>84449.364161248901</v>
      </c>
      <c r="AV54" s="40"/>
      <c r="AW54" s="42"/>
      <c r="AX54" s="42"/>
      <c r="AY54" s="42"/>
      <c r="AZ54" s="42"/>
      <c r="BA54" s="38"/>
      <c r="BB54" s="38"/>
      <c r="BC54" s="38"/>
      <c r="BD54" s="38"/>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row>
    <row r="55" spans="1:194" ht="16.5" customHeight="1" x14ac:dyDescent="0.2">
      <c r="E55" s="44"/>
      <c r="F55" s="44"/>
      <c r="G55" s="44"/>
      <c r="H55" s="44"/>
      <c r="I55" s="15"/>
      <c r="J55" s="15"/>
      <c r="K55" s="15"/>
      <c r="L55" s="16"/>
      <c r="M55" s="38" t="s">
        <v>144</v>
      </c>
      <c r="N55" s="38" t="str">
        <f>VLOOKUP(option,Y51:AH52,9)</f>
        <v>NA</v>
      </c>
      <c r="O55" s="38" t="s">
        <v>3</v>
      </c>
      <c r="P55" s="42"/>
      <c r="Q55" s="38" t="s">
        <v>53</v>
      </c>
      <c r="R55" s="38">
        <f>R16/1000</f>
        <v>0.01</v>
      </c>
      <c r="S55" s="38" t="s">
        <v>26</v>
      </c>
      <c r="U55" s="38" t="s">
        <v>94</v>
      </c>
      <c r="V55" s="41">
        <f>2.5/Vo.HL*RFB.total</f>
        <v>36111.111111111109</v>
      </c>
      <c r="W55" s="38" t="s">
        <v>88</v>
      </c>
      <c r="Y55" s="38" t="s">
        <v>176</v>
      </c>
      <c r="Z55" s="38">
        <f>VLOOKUP(option,Y51:AK52,13)</f>
        <v>90868.605506718799</v>
      </c>
      <c r="AH55" s="40"/>
      <c r="AJ55" s="38"/>
      <c r="AK55" s="38"/>
      <c r="AL55" s="38"/>
      <c r="AM55" s="43" t="s">
        <v>198</v>
      </c>
      <c r="AN55" s="38"/>
      <c r="AO55" s="38"/>
      <c r="AP55" s="38"/>
      <c r="AQ55" s="38"/>
      <c r="AR55" s="38"/>
      <c r="AS55" s="38"/>
      <c r="AT55" s="38"/>
      <c r="AU55" s="38"/>
      <c r="AV55" s="40"/>
      <c r="AW55" s="42"/>
      <c r="AX55" s="42"/>
      <c r="AY55" s="42"/>
      <c r="AZ55" s="43" t="s">
        <v>226</v>
      </c>
      <c r="BA55" s="38"/>
      <c r="BB55" s="38"/>
      <c r="BC55" s="38"/>
      <c r="BD55" s="38"/>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row>
    <row r="56" spans="1:194" ht="16.5" customHeight="1" x14ac:dyDescent="0.2">
      <c r="A56" s="1"/>
      <c r="E56" s="44"/>
      <c r="F56" s="44"/>
      <c r="G56" s="44"/>
      <c r="H56" s="44"/>
      <c r="I56" s="15"/>
      <c r="J56" s="15"/>
      <c r="K56" s="15"/>
      <c r="L56" s="15"/>
      <c r="M56" s="38" t="s">
        <v>145</v>
      </c>
      <c r="N56" s="38" t="str">
        <f>VLOOKUP(option,Y51:AH52,10)</f>
        <v>NA</v>
      </c>
      <c r="O56" s="38" t="s">
        <v>3</v>
      </c>
      <c r="P56" s="42"/>
      <c r="Q56" s="38" t="s">
        <v>51</v>
      </c>
      <c r="R56" s="38">
        <f>2*Po.max*thold.up/(Vo.LL^2-Vo.min^2)</f>
        <v>6.6445182724252495E-5</v>
      </c>
      <c r="S56" s="38" t="s">
        <v>50</v>
      </c>
      <c r="U56" s="38" t="s">
        <v>96</v>
      </c>
      <c r="V56" s="41">
        <f>IF(Bst.Follow="Y", RFB1.LL, RFB1.nom)</f>
        <v>5600000.0000000009</v>
      </c>
      <c r="W56" s="38" t="s">
        <v>88</v>
      </c>
      <c r="AH56" s="40"/>
      <c r="AJ56" s="38"/>
      <c r="AK56" s="38"/>
      <c r="AL56" s="38"/>
      <c r="AM56" s="38"/>
      <c r="AN56" s="38"/>
      <c r="AO56" s="38"/>
      <c r="AP56" s="38"/>
      <c r="AQ56" s="38"/>
      <c r="AR56" s="40"/>
      <c r="AS56" s="40"/>
      <c r="AT56" s="40"/>
      <c r="AU56" s="40"/>
      <c r="AV56" s="40"/>
      <c r="AW56" s="42"/>
      <c r="AX56" s="42"/>
      <c r="AY56" s="42"/>
      <c r="AZ56" s="42"/>
      <c r="BA56" s="38"/>
      <c r="BB56" s="38"/>
      <c r="BC56" s="38"/>
      <c r="BD56" s="38"/>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row>
    <row r="57" spans="1:194" ht="16.5" customHeight="1" x14ac:dyDescent="0.2">
      <c r="A57" s="1"/>
      <c r="E57" s="44"/>
      <c r="F57" s="44"/>
      <c r="G57" s="44"/>
      <c r="H57" s="44"/>
      <c r="I57" s="15"/>
      <c r="J57" s="15"/>
      <c r="K57" s="15"/>
      <c r="L57" s="15"/>
      <c r="M57" s="38" t="s">
        <v>152</v>
      </c>
      <c r="N57" s="38" t="str">
        <f>VLOOKUP(option,Y51:AI52,11)</f>
        <v>NA</v>
      </c>
      <c r="O57" s="38" t="s">
        <v>3</v>
      </c>
      <c r="P57" s="42"/>
      <c r="Q57" s="38" t="s">
        <v>57</v>
      </c>
      <c r="R57" s="38">
        <f>R18*10^-6</f>
        <v>6.7999999999999999E-5</v>
      </c>
      <c r="S57" s="38" t="s">
        <v>50</v>
      </c>
      <c r="U57" s="38" t="s">
        <v>97</v>
      </c>
      <c r="V57" s="41">
        <f>IF(Bst.Follow="Y", RFB2.LL, RFB2.nom)</f>
        <v>36129.032258064522</v>
      </c>
      <c r="W57" s="38" t="s">
        <v>88</v>
      </c>
      <c r="Y57" s="38"/>
      <c r="Z57" s="38" t="s">
        <v>154</v>
      </c>
      <c r="AA57" s="38" t="s">
        <v>158</v>
      </c>
      <c r="AB57" s="38" t="s">
        <v>158</v>
      </c>
      <c r="AC57" s="38" t="s">
        <v>159</v>
      </c>
      <c r="AD57" s="38" t="s">
        <v>159</v>
      </c>
      <c r="AE57" s="38" t="s">
        <v>160</v>
      </c>
      <c r="AF57" s="38" t="s">
        <v>160</v>
      </c>
      <c r="AH57" s="38" t="s">
        <v>164</v>
      </c>
      <c r="AI57" s="38" t="s">
        <v>163</v>
      </c>
      <c r="AJ57" s="38" t="s">
        <v>165</v>
      </c>
      <c r="AK57" s="38" t="s">
        <v>208</v>
      </c>
      <c r="AL57" s="38" t="s">
        <v>209</v>
      </c>
      <c r="AM57" s="38" t="s">
        <v>216</v>
      </c>
      <c r="AN57" s="38" t="s">
        <v>210</v>
      </c>
      <c r="AO57" s="38" t="s">
        <v>211</v>
      </c>
      <c r="AP57" s="38" t="s">
        <v>217</v>
      </c>
      <c r="AQ57" s="38" t="s">
        <v>212</v>
      </c>
      <c r="AR57" s="38" t="s">
        <v>213</v>
      </c>
      <c r="AS57" s="38" t="s">
        <v>218</v>
      </c>
      <c r="AT57" s="38" t="s">
        <v>214</v>
      </c>
      <c r="AU57" s="38" t="s">
        <v>215</v>
      </c>
      <c r="AV57" s="38" t="s">
        <v>219</v>
      </c>
      <c r="AW57" s="42"/>
      <c r="AX57" s="38" t="s">
        <v>221</v>
      </c>
      <c r="AY57" s="38" t="s">
        <v>226</v>
      </c>
      <c r="AZ57" s="38" t="s">
        <v>222</v>
      </c>
      <c r="BA57" s="38" t="s">
        <v>223</v>
      </c>
      <c r="BB57" s="38" t="s">
        <v>203</v>
      </c>
      <c r="BC57" s="38" t="s">
        <v>224</v>
      </c>
      <c r="BD57" s="38" t="s">
        <v>225</v>
      </c>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row>
    <row r="58" spans="1:194" ht="16.5" customHeight="1" x14ac:dyDescent="0.2">
      <c r="A58" s="1"/>
      <c r="E58" s="44"/>
      <c r="F58" s="44"/>
      <c r="G58" s="44"/>
      <c r="H58" s="44"/>
      <c r="I58" s="15"/>
      <c r="J58" s="15"/>
      <c r="K58" s="15"/>
      <c r="L58" s="15"/>
      <c r="M58" s="42"/>
      <c r="N58" s="42"/>
      <c r="O58" s="42"/>
      <c r="P58" s="42"/>
      <c r="U58" s="38" t="s">
        <v>99</v>
      </c>
      <c r="V58" s="38">
        <f>200*10^-6</f>
        <v>1.9999999999999998E-4</v>
      </c>
      <c r="W58" s="38" t="s">
        <v>100</v>
      </c>
      <c r="Y58" s="38">
        <v>1</v>
      </c>
      <c r="Z58" s="38">
        <f>10^-3*10^(Y58/20)</f>
        <v>1.1220184543019637E-3</v>
      </c>
      <c r="AA58" s="38">
        <f t="shared" ref="AA58:AA89" si="0">20*LOG10(G_o/SQRT(1+(Z58/f_p)^2))</f>
        <v>52.561849158400342</v>
      </c>
      <c r="AB58" s="38">
        <f t="shared" ref="AB58:AB89" si="1">180/PI()*-(ATAN(Z58/f_p))</f>
        <v>-2.0888661519001445E-2</v>
      </c>
      <c r="AC58" s="38">
        <f t="shared" ref="AC58:AC89" si="2">-20*LOG10(Z58/f_o)+20*LOG10(SQRT(1+(Z58/f_z)^2))-20*LOG10(SQRT(1+(Z58/f_p2)^2))</f>
        <v>34.396951012124433</v>
      </c>
      <c r="AD58" s="38">
        <f t="shared" ref="AD58:AD89" si="3">-90+(180/PI())*ATAN(Z58/f_z)-(180/PI())*ATAN(Z58/f_p2)+180</f>
        <v>90.019404018651201</v>
      </c>
      <c r="AE58" s="38">
        <f>AA58+AC58</f>
        <v>86.958800170524768</v>
      </c>
      <c r="AF58" s="38">
        <f>AB58+AD58</f>
        <v>89.998515357132206</v>
      </c>
      <c r="AH58" s="38">
        <v>1</v>
      </c>
      <c r="AI58" s="38">
        <f t="shared" ref="AI58:AI89" si="4">AH58/100/fline.sim/2</f>
        <v>1E-4</v>
      </c>
      <c r="AJ58" s="38">
        <f t="shared" ref="AJ58:AJ89" si="5">Vline.sim*2^0.5*SIN(2*PI()*fline.sim*AI58)</f>
        <v>3.9979369343450561</v>
      </c>
      <c r="AK58" s="38">
        <f t="shared" ref="AK58:AK89" si="6">ton.con1*Vout.sim/(Vout.sim-$AJ58)</f>
        <v>5.2826595964256178E-6</v>
      </c>
      <c r="AL58" s="38">
        <f t="shared" ref="AL58:AL89" si="7">ton.con1/2*(1+(1+4*tdt.con1/AK58)^0.5)</f>
        <v>5.1981806367771283E-6</v>
      </c>
      <c r="AM58" s="38">
        <f t="shared" ref="AM58:AM89" si="8">1/(AK58*AL58/ton.con1+tdt.con1)/1000</f>
        <v>189.29858752902146</v>
      </c>
      <c r="AN58" s="38">
        <f t="shared" ref="AN58:AN89" si="9">ton.con2*Vout.sim/(Vout.sim-$AJ58)</f>
        <v>3.9619946973192129E-6</v>
      </c>
      <c r="AO58" s="38">
        <f t="shared" ref="AO58:AO89" si="10">ton.con2/2*(1+(1+4*tdt.con2/AN58)^0.5)</f>
        <v>4.1291288918289969E-6</v>
      </c>
      <c r="AP58" s="38">
        <f t="shared" ref="AP58:AP89" si="11">1/(AN58*AO58/ton.con2+tdt.con2)/1000</f>
        <v>225.0062034095024</v>
      </c>
      <c r="AQ58" s="38">
        <f t="shared" ref="AQ58:AQ89" si="12">ton.con3*Vout.sim/(Vout.sim-$AJ58)</f>
        <v>2.6413297982128089E-6</v>
      </c>
      <c r="AR58" s="38">
        <f t="shared" ref="AR58:AR89" si="13">ton.con3/2*(1+(1+4*tdt.con3/AQ58)^0.5)</f>
        <v>3.4398921025049941E-6</v>
      </c>
      <c r="AS58" s="38">
        <f t="shared" ref="AS58:AS89" si="14">1/(AQ58*AR58/ton.con3+tdt.con3)/1000</f>
        <v>216.13767286900989</v>
      </c>
      <c r="AT58" s="38">
        <f t="shared" ref="AT58:AT89" si="15">ton.con4*Vout.sim/(Vout.sim-$AJ58)</f>
        <v>1.3206648991064044E-6</v>
      </c>
      <c r="AU58" s="38">
        <f t="shared" ref="AU58:AU89" si="16">ton.con4/2*(1+(1+4*tdt.con4/AT58)^0.5)</f>
        <v>2.9421517417264482E-6</v>
      </c>
      <c r="AV58" s="38">
        <f t="shared" ref="AV58:AV89" si="17">1/(AT58*AU58/ton.con4+tdt.con4)/1000</f>
        <v>147.72703488829947</v>
      </c>
      <c r="AW58" s="42"/>
      <c r="AX58" s="38">
        <v>100</v>
      </c>
      <c r="AY58" s="38">
        <f t="shared" ref="AY58:AY89" si="18">IF( ( Po.max * AX58/100 * 100/Eff.sim * 2*Lbst.sim*4/Vline.sim^2/Ton.max.sim ) + 0.5 &gt;0.7, ( Po.max * AX58/100 * 100/Eff.sim * 2*Lbst.sim*4/Vline.sim^2/Ton.max.sim ) + 0.5,"")</f>
        <v>2.4252520876952328</v>
      </c>
      <c r="AZ58" s="38">
        <f t="shared" ref="AZ58:AZ89" si="19">Ton.max.sim*(AY58-0.5)/4</f>
        <v>5.1981806367771283E-6</v>
      </c>
      <c r="BA58" s="38">
        <f t="shared" ref="BA58:BA89" si="20">MAX( C_dt*R_dt*(VCTRL.FF-AY58)/(AY58-0.5), 0 )</f>
        <v>0</v>
      </c>
      <c r="BB58" s="38">
        <f t="shared" ref="BB58:BB89" si="21">AZ58*Vout.sim/(Vout.sim-Vline.sim*2^0.5)</f>
        <v>1.0589446756219604E-5</v>
      </c>
      <c r="BC58" s="38">
        <f>AZ58/2*(1+(1+4*BA58/BB58)^0.5)</f>
        <v>5.1981806367771283E-6</v>
      </c>
      <c r="BD58" s="38">
        <f>1/(BB58*BC58/AZ58+BA58)/1000</f>
        <v>94.433639737851294</v>
      </c>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row>
    <row r="59" spans="1:194" ht="16.5" customHeight="1" x14ac:dyDescent="0.2">
      <c r="A59" s="1"/>
      <c r="E59" s="44"/>
      <c r="F59" s="44"/>
      <c r="G59" s="44"/>
      <c r="H59" s="44"/>
      <c r="I59" s="15"/>
      <c r="J59" s="15"/>
      <c r="K59" s="15"/>
      <c r="L59" s="15"/>
      <c r="M59" s="42"/>
      <c r="N59" s="42"/>
      <c r="O59" s="42"/>
      <c r="P59" s="42"/>
      <c r="Q59" s="42"/>
      <c r="R59" s="42"/>
      <c r="S59" s="42"/>
      <c r="T59" s="42"/>
      <c r="U59" s="38" t="s">
        <v>101</v>
      </c>
      <c r="V59" s="38">
        <f>Vo.HL^2/Po.max</f>
        <v>1521</v>
      </c>
      <c r="W59" s="38" t="s">
        <v>88</v>
      </c>
      <c r="X59" s="42"/>
      <c r="Y59" s="38">
        <v>2</v>
      </c>
      <c r="Z59" s="38">
        <f t="shared" ref="Z59:Z122" si="22">10^-3*10^(Y59/20)</f>
        <v>1.2589254117941673E-3</v>
      </c>
      <c r="AA59" s="38">
        <f t="shared" si="0"/>
        <v>52.561849008936925</v>
      </c>
      <c r="AB59" s="38">
        <f t="shared" si="1"/>
        <v>-2.3437463441118373E-2</v>
      </c>
      <c r="AC59" s="38">
        <f t="shared" si="2"/>
        <v>33.396951160832835</v>
      </c>
      <c r="AD59" s="38">
        <f t="shared" si="3"/>
        <v>90.021771666745494</v>
      </c>
      <c r="AE59" s="38">
        <f t="shared" ref="AE59:AE122" si="23">AA59+AC59</f>
        <v>85.958800169769759</v>
      </c>
      <c r="AF59" s="38">
        <f t="shared" ref="AF59:AF122" si="24">AB59+AD59</f>
        <v>89.998334203304381</v>
      </c>
      <c r="AH59" s="38">
        <v>2</v>
      </c>
      <c r="AI59" s="38">
        <f t="shared" si="4"/>
        <v>2.0000000000000001E-4</v>
      </c>
      <c r="AJ59" s="38">
        <f t="shared" si="5"/>
        <v>7.9919283876126901</v>
      </c>
      <c r="AK59" s="38">
        <f t="shared" si="6"/>
        <v>5.3698422145014281E-6</v>
      </c>
      <c r="AL59" s="38">
        <f t="shared" si="7"/>
        <v>5.1981806367771283E-6</v>
      </c>
      <c r="AM59" s="38">
        <f t="shared" si="8"/>
        <v>186.225211105732</v>
      </c>
      <c r="AN59" s="38">
        <f t="shared" si="9"/>
        <v>4.0273816608760707E-6</v>
      </c>
      <c r="AO59" s="38">
        <f t="shared" si="10"/>
        <v>4.1255816566152935E-6</v>
      </c>
      <c r="AP59" s="38">
        <f t="shared" si="11"/>
        <v>221.733901235384</v>
      </c>
      <c r="AQ59" s="38">
        <f t="shared" si="12"/>
        <v>2.6849211072507141E-6</v>
      </c>
      <c r="AR59" s="38">
        <f t="shared" si="13"/>
        <v>3.4288941997824854E-6</v>
      </c>
      <c r="AS59" s="38">
        <f t="shared" si="14"/>
        <v>213.99471315298075</v>
      </c>
      <c r="AT59" s="38">
        <f t="shared" si="15"/>
        <v>1.342460553625357E-6</v>
      </c>
      <c r="AU59" s="38">
        <f t="shared" si="16"/>
        <v>2.9249734154967647E-6</v>
      </c>
      <c r="AV59" s="38">
        <f t="shared" si="17"/>
        <v>147.04063576402302</v>
      </c>
      <c r="AW59" s="42"/>
      <c r="AX59" s="38">
        <v>99</v>
      </c>
      <c r="AY59" s="38">
        <f t="shared" si="18"/>
        <v>2.4059995668182808</v>
      </c>
      <c r="AZ59" s="38">
        <f t="shared" si="19"/>
        <v>5.1461988304093576E-6</v>
      </c>
      <c r="BA59" s="38">
        <f t="shared" si="20"/>
        <v>0</v>
      </c>
      <c r="BB59" s="38">
        <f t="shared" si="21"/>
        <v>1.0483552288657408E-5</v>
      </c>
      <c r="BC59" s="38">
        <f t="shared" ref="BC59:BC122" si="25">AZ59/2*(1+(1+4*BA59/BB59)^0.5)</f>
        <v>5.1461988304093576E-6</v>
      </c>
      <c r="BD59" s="38">
        <f t="shared" ref="BD59:BD122" si="26">1/(BB59*BC59/AZ59+BA59)/1000</f>
        <v>95.387514886718478</v>
      </c>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row>
    <row r="60" spans="1:194" ht="16.5" customHeight="1" x14ac:dyDescent="0.2">
      <c r="A60" s="1"/>
      <c r="E60" s="44"/>
      <c r="F60" s="44"/>
      <c r="G60" s="44"/>
      <c r="H60" s="44"/>
      <c r="I60" s="15"/>
      <c r="J60" s="15"/>
      <c r="K60" s="15"/>
      <c r="L60" s="15"/>
      <c r="M60" s="42"/>
      <c r="N60" s="42"/>
      <c r="O60" s="42"/>
      <c r="P60" s="42"/>
      <c r="U60" s="38" t="s">
        <v>102</v>
      </c>
      <c r="V60" s="38">
        <f>Vo.HL/2.5/G_EA</f>
        <v>780000.00000000012</v>
      </c>
      <c r="W60" s="38" t="s">
        <v>88</v>
      </c>
      <c r="Y60" s="38">
        <v>3</v>
      </c>
      <c r="Z60" s="38">
        <f t="shared" si="22"/>
        <v>1.4125375446227544E-3</v>
      </c>
      <c r="AA60" s="38">
        <f t="shared" si="0"/>
        <v>52.561848820773633</v>
      </c>
      <c r="AB60" s="38">
        <f t="shared" si="1"/>
        <v>-2.6297266123175535E-2</v>
      </c>
      <c r="AC60" s="38">
        <f t="shared" si="2"/>
        <v>32.396951348045619</v>
      </c>
      <c r="AD60" s="38">
        <f t="shared" si="3"/>
        <v>90.02442821148972</v>
      </c>
      <c r="AE60" s="38">
        <f t="shared" si="23"/>
        <v>84.958800168819252</v>
      </c>
      <c r="AF60" s="38">
        <f t="shared" si="24"/>
        <v>89.99813094536654</v>
      </c>
      <c r="AH60" s="38">
        <v>3</v>
      </c>
      <c r="AI60" s="38">
        <f t="shared" si="4"/>
        <v>2.9999999999999997E-4</v>
      </c>
      <c r="AJ60" s="38">
        <f t="shared" si="5"/>
        <v>11.978032772438956</v>
      </c>
      <c r="AK60" s="38">
        <f t="shared" si="6"/>
        <v>5.4597698453262978E-6</v>
      </c>
      <c r="AL60" s="38">
        <f t="shared" si="7"/>
        <v>5.1981806367771283E-6</v>
      </c>
      <c r="AM60" s="38">
        <f t="shared" si="8"/>
        <v>183.15790378160821</v>
      </c>
      <c r="AN60" s="38">
        <f t="shared" si="9"/>
        <v>4.0948273839947225E-6</v>
      </c>
      <c r="AO60" s="38">
        <f t="shared" si="10"/>
        <v>4.1220356520888121E-6</v>
      </c>
      <c r="AP60" s="38">
        <f t="shared" si="11"/>
        <v>218.45710530616142</v>
      </c>
      <c r="AQ60" s="38">
        <f t="shared" si="12"/>
        <v>2.7298849226631489E-6</v>
      </c>
      <c r="AR60" s="38">
        <f t="shared" si="13"/>
        <v>3.4178610857053439E-6</v>
      </c>
      <c r="AS60" s="38">
        <f t="shared" si="14"/>
        <v>211.83103502581645</v>
      </c>
      <c r="AT60" s="38">
        <f t="shared" si="15"/>
        <v>1.3649424613315745E-6</v>
      </c>
      <c r="AU60" s="38">
        <f t="shared" si="16"/>
        <v>2.9076987096222418E-6</v>
      </c>
      <c r="AV60" s="38">
        <f t="shared" si="17"/>
        <v>146.342206865957</v>
      </c>
      <c r="AW60" s="42"/>
      <c r="AX60" s="38">
        <v>98</v>
      </c>
      <c r="AY60" s="38">
        <f t="shared" si="18"/>
        <v>2.3867470459413282</v>
      </c>
      <c r="AZ60" s="38">
        <f t="shared" si="19"/>
        <v>5.0942170240415861E-6</v>
      </c>
      <c r="BA60" s="38">
        <f t="shared" si="20"/>
        <v>0</v>
      </c>
      <c r="BB60" s="38">
        <f t="shared" si="21"/>
        <v>1.0377657821095212E-5</v>
      </c>
      <c r="BC60" s="38">
        <f t="shared" si="25"/>
        <v>5.0942170240415861E-6</v>
      </c>
      <c r="BD60" s="38">
        <f t="shared" si="26"/>
        <v>96.360856875358451</v>
      </c>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row>
    <row r="61" spans="1:194" ht="16.5" customHeight="1" x14ac:dyDescent="0.2">
      <c r="A61" s="1"/>
      <c r="E61" s="44"/>
      <c r="F61" s="44"/>
      <c r="G61" s="44"/>
      <c r="H61" s="44"/>
      <c r="I61" s="15"/>
      <c r="J61" s="15"/>
      <c r="K61" s="15"/>
      <c r="L61" s="15"/>
      <c r="M61" s="42"/>
      <c r="N61" s="42"/>
      <c r="O61" s="42"/>
      <c r="P61" s="42"/>
      <c r="U61" s="38" t="s">
        <v>103</v>
      </c>
      <c r="V61" s="38">
        <f>Vline.max^2*Ton.max.HL*Rload/16/Lbst/Vo.HL</f>
        <v>424.70999999999992</v>
      </c>
      <c r="W61" s="38"/>
      <c r="Y61" s="38">
        <v>4</v>
      </c>
      <c r="Z61" s="38">
        <f t="shared" si="22"/>
        <v>1.5848931924611136E-3</v>
      </c>
      <c r="AA61" s="38">
        <f t="shared" si="0"/>
        <v>52.56184858389009</v>
      </c>
      <c r="AB61" s="38">
        <f t="shared" si="1"/>
        <v>-2.9506017351429614E-2</v>
      </c>
      <c r="AC61" s="38">
        <f t="shared" si="2"/>
        <v>31.39695158373253</v>
      </c>
      <c r="AD61" s="38">
        <f t="shared" si="3"/>
        <v>90.027408903560769</v>
      </c>
      <c r="AE61" s="38">
        <f t="shared" si="23"/>
        <v>83.958800167622627</v>
      </c>
      <c r="AF61" s="38">
        <f t="shared" si="24"/>
        <v>89.997902886209346</v>
      </c>
      <c r="AH61" s="38">
        <v>4</v>
      </c>
      <c r="AI61" s="38">
        <f t="shared" si="4"/>
        <v>4.0000000000000002E-4</v>
      </c>
      <c r="AJ61" s="38">
        <f t="shared" si="5"/>
        <v>15.952316285044251</v>
      </c>
      <c r="AK61" s="38">
        <f t="shared" si="6"/>
        <v>5.5524803260902367E-6</v>
      </c>
      <c r="AL61" s="38">
        <f t="shared" si="7"/>
        <v>5.1981806367771283E-6</v>
      </c>
      <c r="AM61" s="38">
        <f t="shared" si="8"/>
        <v>180.09969261865845</v>
      </c>
      <c r="AN61" s="38">
        <f t="shared" si="9"/>
        <v>4.1643602445676769E-6</v>
      </c>
      <c r="AO61" s="38">
        <f t="shared" si="10"/>
        <v>4.1184943923396158E-6</v>
      </c>
      <c r="AP61" s="38">
        <f t="shared" si="11"/>
        <v>215.17906264425486</v>
      </c>
      <c r="AQ61" s="38">
        <f t="shared" si="12"/>
        <v>2.7762401630451184E-6</v>
      </c>
      <c r="AR61" s="38">
        <f t="shared" si="13"/>
        <v>3.4068031812168554E-6</v>
      </c>
      <c r="AS61" s="38">
        <f t="shared" si="14"/>
        <v>209.64843366591694</v>
      </c>
      <c r="AT61" s="38">
        <f t="shared" si="15"/>
        <v>1.3881200815225592E-6</v>
      </c>
      <c r="AU61" s="38">
        <f t="shared" si="16"/>
        <v>2.8903426407313797E-6</v>
      </c>
      <c r="AV61" s="38">
        <f t="shared" si="17"/>
        <v>145.63208072967134</v>
      </c>
      <c r="AW61" s="42"/>
      <c r="AX61" s="38">
        <v>97</v>
      </c>
      <c r="AY61" s="38">
        <f t="shared" si="18"/>
        <v>2.3674945250643757</v>
      </c>
      <c r="AZ61" s="38">
        <f t="shared" si="19"/>
        <v>5.0422352176738146E-6</v>
      </c>
      <c r="BA61" s="38">
        <f t="shared" si="20"/>
        <v>0</v>
      </c>
      <c r="BB61" s="38">
        <f t="shared" si="21"/>
        <v>1.0271763353533015E-5</v>
      </c>
      <c r="BC61" s="38">
        <f t="shared" si="25"/>
        <v>5.0422352176738146E-6</v>
      </c>
      <c r="BD61" s="38">
        <f t="shared" si="26"/>
        <v>97.354267770980712</v>
      </c>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row>
    <row r="62" spans="1:194" ht="16.5" customHeight="1" x14ac:dyDescent="0.2">
      <c r="A62" s="1"/>
      <c r="E62" s="44"/>
      <c r="F62" s="44"/>
      <c r="G62" s="44"/>
      <c r="H62" s="44"/>
      <c r="I62" s="15"/>
      <c r="J62" s="15"/>
      <c r="K62" s="15"/>
      <c r="L62" s="15"/>
      <c r="M62" s="42"/>
      <c r="N62" s="42"/>
      <c r="O62" s="42"/>
      <c r="P62" s="42"/>
      <c r="U62" s="38" t="s">
        <v>110</v>
      </c>
      <c r="V62" s="38">
        <f>G_o/2/PI()/fcross/R_o</f>
        <v>3.4663946605414799E-6</v>
      </c>
      <c r="W62" s="38" t="s">
        <v>50</v>
      </c>
      <c r="Y62" s="38">
        <v>5</v>
      </c>
      <c r="Z62" s="38">
        <f t="shared" si="22"/>
        <v>1.778279410038923E-3</v>
      </c>
      <c r="AA62" s="38">
        <f t="shared" si="0"/>
        <v>52.561848285671402</v>
      </c>
      <c r="AB62" s="38">
        <f t="shared" si="1"/>
        <v>-3.3106295223483621E-2</v>
      </c>
      <c r="AC62" s="38">
        <f t="shared" si="2"/>
        <v>30.396951880444764</v>
      </c>
      <c r="AD62" s="38">
        <f t="shared" si="3"/>
        <v>90.030753294849887</v>
      </c>
      <c r="AE62" s="38">
        <f t="shared" si="23"/>
        <v>82.958800166116163</v>
      </c>
      <c r="AF62" s="38">
        <f t="shared" si="24"/>
        <v>89.997646999626397</v>
      </c>
      <c r="AH62" s="38">
        <v>5</v>
      </c>
      <c r="AI62" s="38">
        <f t="shared" si="4"/>
        <v>5.0000000000000001E-4</v>
      </c>
      <c r="AJ62" s="38">
        <f t="shared" si="5"/>
        <v>19.910856787422688</v>
      </c>
      <c r="AK62" s="38">
        <f t="shared" si="6"/>
        <v>5.6480072942583124E-6</v>
      </c>
      <c r="AL62" s="38">
        <f t="shared" si="7"/>
        <v>5.1981806367771283E-6</v>
      </c>
      <c r="AM62" s="38">
        <f t="shared" si="8"/>
        <v>177.05359570207821</v>
      </c>
      <c r="AN62" s="38">
        <f t="shared" si="9"/>
        <v>4.2360054706937339E-6</v>
      </c>
      <c r="AO62" s="38">
        <f t="shared" si="10"/>
        <v>4.1149614040010712E-6</v>
      </c>
      <c r="AP62" s="38">
        <f t="shared" si="11"/>
        <v>211.90305429626559</v>
      </c>
      <c r="AQ62" s="38">
        <f t="shared" si="12"/>
        <v>2.8240036471291562E-6</v>
      </c>
      <c r="AR62" s="38">
        <f t="shared" si="13"/>
        <v>3.3957310932593001E-6</v>
      </c>
      <c r="AS62" s="38">
        <f t="shared" si="14"/>
        <v>207.44879051707011</v>
      </c>
      <c r="AT62" s="38">
        <f t="shared" si="15"/>
        <v>1.4120018235645781E-6</v>
      </c>
      <c r="AU62" s="38">
        <f t="shared" si="16"/>
        <v>2.8729206327132703E-6</v>
      </c>
      <c r="AV62" s="38">
        <f t="shared" si="17"/>
        <v>144.91062760855158</v>
      </c>
      <c r="AW62" s="42"/>
      <c r="AX62" s="38">
        <v>96</v>
      </c>
      <c r="AY62" s="38">
        <f t="shared" si="18"/>
        <v>2.3482420041874237</v>
      </c>
      <c r="AZ62" s="38">
        <f t="shared" si="19"/>
        <v>4.990253411306044E-6</v>
      </c>
      <c r="BA62" s="38">
        <f t="shared" si="20"/>
        <v>0</v>
      </c>
      <c r="BB62" s="38">
        <f t="shared" si="21"/>
        <v>1.0165868885970821E-5</v>
      </c>
      <c r="BC62" s="38">
        <f t="shared" si="25"/>
        <v>4.990253411306044E-6</v>
      </c>
      <c r="BD62" s="38">
        <f t="shared" si="26"/>
        <v>98.368374726928408</v>
      </c>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row>
    <row r="63" spans="1:194" ht="16.5" customHeight="1" x14ac:dyDescent="0.2">
      <c r="A63" s="1"/>
      <c r="E63" s="44"/>
      <c r="F63" s="44"/>
      <c r="G63" s="44"/>
      <c r="H63" s="44"/>
      <c r="I63" s="15"/>
      <c r="J63" s="15"/>
      <c r="K63" s="15"/>
      <c r="L63" s="15"/>
      <c r="M63" s="42"/>
      <c r="N63" s="42"/>
      <c r="O63" s="42"/>
      <c r="P63" s="42"/>
      <c r="U63" s="38" t="s">
        <v>111</v>
      </c>
      <c r="V63" s="38">
        <f>Rload*Cbulk/2/C_z</f>
        <v>14918.670568204096</v>
      </c>
      <c r="W63" s="38" t="s">
        <v>88</v>
      </c>
      <c r="Y63" s="38">
        <v>6</v>
      </c>
      <c r="Z63" s="38">
        <f t="shared" si="22"/>
        <v>1.9952623149688798E-3</v>
      </c>
      <c r="AA63" s="38">
        <f t="shared" si="0"/>
        <v>52.561847910236352</v>
      </c>
      <c r="AB63" s="38">
        <f t="shared" si="1"/>
        <v>-3.7145873123932964E-2</v>
      </c>
      <c r="AC63" s="38">
        <f t="shared" si="2"/>
        <v>29.396952253983297</v>
      </c>
      <c r="AD63" s="38">
        <f t="shared" si="3"/>
        <v>90.034505763282155</v>
      </c>
      <c r="AE63" s="38">
        <f t="shared" si="23"/>
        <v>81.958800164219653</v>
      </c>
      <c r="AF63" s="38">
        <f t="shared" si="24"/>
        <v>89.997359890158222</v>
      </c>
      <c r="AH63" s="38">
        <v>6</v>
      </c>
      <c r="AI63" s="38">
        <f t="shared" si="4"/>
        <v>5.9999999999999995E-4</v>
      </c>
      <c r="AJ63" s="38">
        <f t="shared" si="5"/>
        <v>23.849747678018808</v>
      </c>
      <c r="AK63" s="38">
        <f t="shared" si="6"/>
        <v>5.7463794351379103E-6</v>
      </c>
      <c r="AL63" s="38">
        <f t="shared" si="7"/>
        <v>5.1981806367771283E-6</v>
      </c>
      <c r="AM63" s="38">
        <f t="shared" si="8"/>
        <v>174.02261916176448</v>
      </c>
      <c r="AN63" s="38">
        <f t="shared" si="9"/>
        <v>4.3097845763534319E-6</v>
      </c>
      <c r="AO63" s="38">
        <f t="shared" si="10"/>
        <v>4.1114402227832799E-6</v>
      </c>
      <c r="AP63" s="38">
        <f t="shared" si="11"/>
        <v>208.63239225132014</v>
      </c>
      <c r="AQ63" s="38">
        <f t="shared" si="12"/>
        <v>2.8731897175689551E-6</v>
      </c>
      <c r="AR63" s="38">
        <f t="shared" si="13"/>
        <v>3.3846556097799562E-6</v>
      </c>
      <c r="AS63" s="38">
        <f t="shared" si="14"/>
        <v>205.23407496543564</v>
      </c>
      <c r="AT63" s="38">
        <f t="shared" si="15"/>
        <v>1.4365948587844776E-6</v>
      </c>
      <c r="AU63" s="38">
        <f t="shared" si="16"/>
        <v>2.8554485206394138E-6</v>
      </c>
      <c r="AV63" s="38">
        <f t="shared" si="17"/>
        <v>144.17825800794412</v>
      </c>
      <c r="AW63" s="42"/>
      <c r="AX63" s="38">
        <v>95</v>
      </c>
      <c r="AY63" s="38">
        <f t="shared" si="18"/>
        <v>2.3289894833104707</v>
      </c>
      <c r="AZ63" s="38">
        <f t="shared" si="19"/>
        <v>4.9382716049382708E-6</v>
      </c>
      <c r="BA63" s="38">
        <f t="shared" si="20"/>
        <v>0</v>
      </c>
      <c r="BB63" s="38">
        <f t="shared" si="21"/>
        <v>1.005997441840862E-5</v>
      </c>
      <c r="BC63" s="38">
        <f t="shared" si="25"/>
        <v>4.9382716049382708E-6</v>
      </c>
      <c r="BD63" s="38">
        <f t="shared" si="26"/>
        <v>99.403831303001397</v>
      </c>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row>
    <row r="64" spans="1:194" ht="16.5" customHeight="1" x14ac:dyDescent="0.2">
      <c r="A64" s="1"/>
      <c r="E64" s="44"/>
      <c r="F64" s="44"/>
      <c r="G64" s="44"/>
      <c r="H64" s="44"/>
      <c r="I64" s="15"/>
      <c r="J64" s="15"/>
      <c r="K64" s="15"/>
      <c r="L64" s="15"/>
      <c r="P64" s="42"/>
      <c r="U64" s="38" t="s">
        <v>113</v>
      </c>
      <c r="V64" s="38">
        <f>TAN(PI()/2-A_pm/180*PI())/2/PI()/fcross/R_z</f>
        <v>2.4637087820091681E-7</v>
      </c>
      <c r="W64" s="38" t="s">
        <v>50</v>
      </c>
      <c r="Y64" s="38">
        <v>7</v>
      </c>
      <c r="Z64" s="38">
        <f t="shared" si="22"/>
        <v>2.2387211385683395E-3</v>
      </c>
      <c r="AA64" s="38">
        <f t="shared" si="0"/>
        <v>52.561847437591666</v>
      </c>
      <c r="AB64" s="38">
        <f t="shared" si="1"/>
        <v>-4.1678353634253838E-2</v>
      </c>
      <c r="AC64" s="38">
        <f t="shared" si="2"/>
        <v>28.396952724240403</v>
      </c>
      <c r="AD64" s="38">
        <f t="shared" si="3"/>
        <v>90.038716101670929</v>
      </c>
      <c r="AE64" s="38">
        <f t="shared" si="23"/>
        <v>80.958800161832073</v>
      </c>
      <c r="AF64" s="38">
        <f t="shared" si="24"/>
        <v>89.997037748036675</v>
      </c>
      <c r="AH64" s="38">
        <v>7</v>
      </c>
      <c r="AI64" s="38">
        <f t="shared" si="4"/>
        <v>7.000000000000001E-4</v>
      </c>
      <c r="AJ64" s="38">
        <f t="shared" si="5"/>
        <v>27.765101747071665</v>
      </c>
      <c r="AK64" s="38">
        <f t="shared" si="6"/>
        <v>5.847619655645863E-6</v>
      </c>
      <c r="AL64" s="38">
        <f t="shared" si="7"/>
        <v>5.1981806367771283E-6</v>
      </c>
      <c r="AM64" s="38">
        <f t="shared" si="8"/>
        <v>171.00975420562833</v>
      </c>
      <c r="AN64" s="38">
        <f t="shared" si="9"/>
        <v>4.3857147417343964E-6</v>
      </c>
      <c r="AO64" s="38">
        <f t="shared" si="10"/>
        <v>4.1079343899279545E-6</v>
      </c>
      <c r="AP64" s="38">
        <f t="shared" si="11"/>
        <v>205.37041619608769</v>
      </c>
      <c r="AQ64" s="38">
        <f t="shared" si="12"/>
        <v>2.9238098278229315E-6</v>
      </c>
      <c r="AR64" s="38">
        <f t="shared" si="13"/>
        <v>3.3735876940876033E-6</v>
      </c>
      <c r="AS64" s="38">
        <f t="shared" si="14"/>
        <v>203.00634579597536</v>
      </c>
      <c r="AT64" s="38">
        <f t="shared" si="15"/>
        <v>1.4619049139114658E-6</v>
      </c>
      <c r="AU64" s="38">
        <f t="shared" si="16"/>
        <v>2.837942554010047E-6</v>
      </c>
      <c r="AV64" s="38">
        <f t="shared" si="17"/>
        <v>143.43542528500541</v>
      </c>
      <c r="AW64" s="42"/>
      <c r="AX64" s="38">
        <v>94</v>
      </c>
      <c r="AY64" s="38">
        <f t="shared" si="18"/>
        <v>2.3097369624335187</v>
      </c>
      <c r="AZ64" s="38">
        <f t="shared" si="19"/>
        <v>4.8862897985705002E-6</v>
      </c>
      <c r="BA64" s="38">
        <f t="shared" si="20"/>
        <v>0</v>
      </c>
      <c r="BB64" s="38">
        <f t="shared" si="21"/>
        <v>9.9540799508464261E-6</v>
      </c>
      <c r="BC64" s="38">
        <f t="shared" si="25"/>
        <v>4.8862897985705002E-6</v>
      </c>
      <c r="BD64" s="38">
        <f t="shared" si="26"/>
        <v>100.46131887005457</v>
      </c>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row>
    <row r="65" spans="1:194" ht="16.5" customHeight="1" x14ac:dyDescent="0.2">
      <c r="A65" s="1"/>
      <c r="E65" s="44"/>
      <c r="F65" s="44"/>
      <c r="G65" s="44"/>
      <c r="H65" s="44"/>
      <c r="I65" s="15"/>
      <c r="J65" s="15"/>
      <c r="K65" s="15"/>
      <c r="L65" s="15"/>
      <c r="M65" s="42"/>
      <c r="N65" s="42"/>
      <c r="O65" s="42"/>
      <c r="P65" s="42"/>
      <c r="U65" s="38" t="s">
        <v>155</v>
      </c>
      <c r="V65" s="38">
        <f>1/(2*PI()*R_o*C_z)</f>
        <v>5.8863695227331599E-2</v>
      </c>
      <c r="W65" s="38" t="s">
        <v>2</v>
      </c>
      <c r="Y65" s="38">
        <v>8</v>
      </c>
      <c r="Z65" s="38">
        <f t="shared" si="22"/>
        <v>2.5118864315095807E-3</v>
      </c>
      <c r="AA65" s="38">
        <f t="shared" si="0"/>
        <v>52.561846842567334</v>
      </c>
      <c r="AB65" s="38">
        <f t="shared" si="1"/>
        <v>-4.6763879786858614E-2</v>
      </c>
      <c r="AC65" s="38">
        <f t="shared" si="2"/>
        <v>27.396953316258951</v>
      </c>
      <c r="AD65" s="38">
        <f t="shared" si="3"/>
        <v>90.043440178418479</v>
      </c>
      <c r="AE65" s="38">
        <f t="shared" si="23"/>
        <v>79.958800158826278</v>
      </c>
      <c r="AF65" s="38">
        <f t="shared" si="24"/>
        <v>89.996676298631627</v>
      </c>
      <c r="AH65" s="38">
        <v>8</v>
      </c>
      <c r="AI65" s="38">
        <f t="shared" si="4"/>
        <v>8.0000000000000004E-4</v>
      </c>
      <c r="AJ65" s="38">
        <f t="shared" si="5"/>
        <v>31.653055012821511</v>
      </c>
      <c r="AK65" s="38">
        <f t="shared" si="6"/>
        <v>5.9517441806689467E-6</v>
      </c>
      <c r="AL65" s="38">
        <f t="shared" si="7"/>
        <v>5.1981806367771283E-6</v>
      </c>
      <c r="AM65" s="38">
        <f t="shared" si="8"/>
        <v>168.01797416763384</v>
      </c>
      <c r="AN65" s="38">
        <f t="shared" si="9"/>
        <v>4.4638081355017094E-6</v>
      </c>
      <c r="AO65" s="38">
        <f t="shared" si="10"/>
        <v>4.1044474485871363E-6</v>
      </c>
      <c r="AP65" s="38">
        <f t="shared" si="11"/>
        <v>202.12049010647519</v>
      </c>
      <c r="AQ65" s="38">
        <f t="shared" si="12"/>
        <v>2.9758720903344733E-6</v>
      </c>
      <c r="AR65" s="38">
        <f t="shared" si="13"/>
        <v>3.3625384785129191E-6</v>
      </c>
      <c r="AS65" s="38">
        <f t="shared" si="14"/>
        <v>200.76775239671758</v>
      </c>
      <c r="AT65" s="38">
        <f t="shared" si="15"/>
        <v>1.4879360451672367E-6</v>
      </c>
      <c r="AU65" s="38">
        <f t="shared" si="16"/>
        <v>2.8204193992007238E-6</v>
      </c>
      <c r="AV65" s="38">
        <f t="shared" si="17"/>
        <v>142.68262830162314</v>
      </c>
      <c r="AW65" s="42"/>
      <c r="AX65" s="38">
        <v>93</v>
      </c>
      <c r="AY65" s="38">
        <f t="shared" si="18"/>
        <v>2.2904844415565666</v>
      </c>
      <c r="AZ65" s="38">
        <f t="shared" si="19"/>
        <v>4.8343079922027295E-6</v>
      </c>
      <c r="BA65" s="38">
        <f t="shared" si="20"/>
        <v>0</v>
      </c>
      <c r="BB65" s="38">
        <f t="shared" si="21"/>
        <v>9.8481854832842303E-6</v>
      </c>
      <c r="BC65" s="38">
        <f t="shared" si="25"/>
        <v>4.8343079922027295E-6</v>
      </c>
      <c r="BD65" s="38">
        <f t="shared" si="26"/>
        <v>101.54154810521645</v>
      </c>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row>
    <row r="66" spans="1:194" ht="16.5" customHeight="1" x14ac:dyDescent="0.2">
      <c r="A66" s="1"/>
      <c r="E66" s="44"/>
      <c r="F66" s="44"/>
      <c r="G66" s="44"/>
      <c r="H66" s="44"/>
      <c r="I66" s="15"/>
      <c r="J66" s="15"/>
      <c r="K66" s="15"/>
      <c r="L66" s="15"/>
      <c r="M66" s="42"/>
      <c r="N66" s="42"/>
      <c r="O66" s="42"/>
      <c r="P66" s="42"/>
      <c r="U66" s="38" t="s">
        <v>156</v>
      </c>
      <c r="V66" s="38">
        <f>1/(2*PI()*R_z*C_z)</f>
        <v>3.0775987758033674</v>
      </c>
      <c r="W66" s="38" t="s">
        <v>2</v>
      </c>
      <c r="Y66" s="38">
        <v>9</v>
      </c>
      <c r="Z66" s="38">
        <f t="shared" si="22"/>
        <v>2.8183829312644544E-3</v>
      </c>
      <c r="AA66" s="38">
        <f t="shared" si="0"/>
        <v>52.561846093476191</v>
      </c>
      <c r="AB66" s="38">
        <f t="shared" si="1"/>
        <v>-5.2469933098861589E-2</v>
      </c>
      <c r="AC66" s="38">
        <f t="shared" si="2"/>
        <v>26.396954061566035</v>
      </c>
      <c r="AD66" s="38">
        <f t="shared" si="3"/>
        <v>90.04874067882804</v>
      </c>
      <c r="AE66" s="38">
        <f t="shared" si="23"/>
        <v>78.958800155042226</v>
      </c>
      <c r="AF66" s="38">
        <f t="shared" si="24"/>
        <v>89.996270745729177</v>
      </c>
      <c r="AH66" s="38">
        <v>9</v>
      </c>
      <c r="AI66" s="38">
        <f t="shared" si="4"/>
        <v>8.9999999999999998E-4</v>
      </c>
      <c r="AJ66" s="38">
        <f t="shared" si="5"/>
        <v>35.509770534793354</v>
      </c>
      <c r="AK66" s="38">
        <f t="shared" si="6"/>
        <v>6.0587615689277203E-6</v>
      </c>
      <c r="AL66" s="38">
        <f t="shared" si="7"/>
        <v>5.1981806367771283E-6</v>
      </c>
      <c r="AM66" s="38">
        <f t="shared" si="8"/>
        <v>165.05023157347651</v>
      </c>
      <c r="AN66" s="38">
        <f t="shared" si="9"/>
        <v>4.5440711766957892E-6</v>
      </c>
      <c r="AO66" s="38">
        <f t="shared" si="10"/>
        <v>4.1009829401285768E-6</v>
      </c>
      <c r="AP66" s="38">
        <f t="shared" si="11"/>
        <v>198.88599867668674</v>
      </c>
      <c r="AQ66" s="38">
        <f t="shared" si="12"/>
        <v>3.0293807844638601E-6</v>
      </c>
      <c r="AR66" s="38">
        <f t="shared" si="13"/>
        <v>3.3515192573253139E-6</v>
      </c>
      <c r="AS66" s="38">
        <f t="shared" si="14"/>
        <v>198.52053567753475</v>
      </c>
      <c r="AT66" s="38">
        <f t="shared" si="15"/>
        <v>1.5146903922319301E-6</v>
      </c>
      <c r="AU66" s="38">
        <f t="shared" si="16"/>
        <v>2.8028961409722692E-6</v>
      </c>
      <c r="AV66" s="38">
        <f t="shared" si="17"/>
        <v>141.92041411497027</v>
      </c>
      <c r="AW66" s="42"/>
      <c r="AX66" s="38">
        <v>92</v>
      </c>
      <c r="AY66" s="38">
        <f t="shared" si="18"/>
        <v>2.2712319206796141</v>
      </c>
      <c r="AZ66" s="38">
        <f t="shared" si="19"/>
        <v>4.782326185834958E-6</v>
      </c>
      <c r="BA66" s="38">
        <f t="shared" si="20"/>
        <v>0</v>
      </c>
      <c r="BB66" s="38">
        <f t="shared" si="21"/>
        <v>9.7422910157220346E-6</v>
      </c>
      <c r="BC66" s="38">
        <f t="shared" si="25"/>
        <v>4.782326185834958E-6</v>
      </c>
      <c r="BD66" s="38">
        <f t="shared" si="26"/>
        <v>102.64526058462097</v>
      </c>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row>
    <row r="67" spans="1:194" ht="16.5" customHeight="1" x14ac:dyDescent="0.2">
      <c r="A67" s="1"/>
      <c r="E67" s="44"/>
      <c r="F67" s="44"/>
      <c r="G67" s="44"/>
      <c r="H67" s="44"/>
      <c r="I67" s="15"/>
      <c r="J67" s="15"/>
      <c r="K67" s="15"/>
      <c r="L67" s="15"/>
      <c r="M67" s="42"/>
      <c r="N67" s="42"/>
      <c r="O67" s="42"/>
      <c r="P67" s="42"/>
      <c r="U67" s="38" t="s">
        <v>157</v>
      </c>
      <c r="V67" s="38">
        <f>1/(2*PI()*R_z*C_p)</f>
        <v>43.301270189221938</v>
      </c>
      <c r="W67" s="38" t="s">
        <v>2</v>
      </c>
      <c r="Y67" s="38">
        <v>10</v>
      </c>
      <c r="Z67" s="38">
        <f t="shared" si="22"/>
        <v>3.1622776601683794E-3</v>
      </c>
      <c r="AA67" s="38">
        <f t="shared" si="0"/>
        <v>52.561845150426507</v>
      </c>
      <c r="AB67" s="38">
        <f t="shared" si="1"/>
        <v>-5.8872228971637144E-2</v>
      </c>
      <c r="AC67" s="38">
        <f t="shared" si="2"/>
        <v>25.396954999851875</v>
      </c>
      <c r="AD67" s="38">
        <f t="shared" si="3"/>
        <v>90.054687936860518</v>
      </c>
      <c r="AE67" s="38">
        <f t="shared" si="23"/>
        <v>77.958800150278378</v>
      </c>
      <c r="AF67" s="38">
        <f t="shared" si="24"/>
        <v>89.99581570788888</v>
      </c>
      <c r="AH67" s="38">
        <v>10</v>
      </c>
      <c r="AI67" s="38">
        <f t="shared" si="4"/>
        <v>1E-3</v>
      </c>
      <c r="AJ67" s="38">
        <f t="shared" si="5"/>
        <v>39.331442200393894</v>
      </c>
      <c r="AK67" s="38">
        <f t="shared" si="6"/>
        <v>6.1686716459626897E-6</v>
      </c>
      <c r="AL67" s="38">
        <f t="shared" si="7"/>
        <v>5.1981806367771283E-6</v>
      </c>
      <c r="AM67" s="38">
        <f t="shared" si="8"/>
        <v>162.10945522679688</v>
      </c>
      <c r="AN67" s="38">
        <f t="shared" si="9"/>
        <v>4.6265037344720166E-6</v>
      </c>
      <c r="AO67" s="38">
        <f t="shared" si="10"/>
        <v>4.0975444003709473E-6</v>
      </c>
      <c r="AP67" s="38">
        <f t="shared" si="11"/>
        <v>195.6703435870597</v>
      </c>
      <c r="AQ67" s="38">
        <f t="shared" si="12"/>
        <v>3.0843358229813448E-6</v>
      </c>
      <c r="AR67" s="38">
        <f t="shared" si="13"/>
        <v>3.3405414788582548E-6</v>
      </c>
      <c r="AS67" s="38">
        <f t="shared" si="14"/>
        <v>196.26702866853606</v>
      </c>
      <c r="AT67" s="38">
        <f t="shared" si="15"/>
        <v>1.5421679114906724E-6</v>
      </c>
      <c r="AU67" s="38">
        <f t="shared" si="16"/>
        <v>2.785390282894082E-6</v>
      </c>
      <c r="AV67" s="38">
        <f t="shared" si="17"/>
        <v>141.1493806871415</v>
      </c>
      <c r="AW67" s="42"/>
      <c r="AX67" s="38">
        <v>91</v>
      </c>
      <c r="AY67" s="38">
        <f t="shared" si="18"/>
        <v>2.2519793998026616</v>
      </c>
      <c r="AZ67" s="38">
        <f t="shared" si="19"/>
        <v>4.7303443794671865E-6</v>
      </c>
      <c r="BA67" s="38">
        <f t="shared" si="20"/>
        <v>0</v>
      </c>
      <c r="BB67" s="38">
        <f t="shared" si="21"/>
        <v>9.6363965481598389E-6</v>
      </c>
      <c r="BC67" s="38">
        <f t="shared" si="25"/>
        <v>4.7303443794671865E-6</v>
      </c>
      <c r="BD67" s="38">
        <f t="shared" si="26"/>
        <v>103.77323048115528</v>
      </c>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row>
    <row r="68" spans="1:194" ht="16.5" customHeight="1" x14ac:dyDescent="0.2">
      <c r="A68" s="1"/>
      <c r="E68" s="44"/>
      <c r="F68" s="44"/>
      <c r="G68" s="44"/>
      <c r="H68" s="44"/>
      <c r="I68" s="15"/>
      <c r="J68" s="15"/>
      <c r="K68" s="15"/>
      <c r="L68" s="15"/>
      <c r="M68" s="42"/>
      <c r="N68" s="42"/>
      <c r="O68" s="42"/>
      <c r="P68" s="42"/>
      <c r="U68" s="38" t="s">
        <v>124</v>
      </c>
      <c r="V68" s="38">
        <f>V22*1000</f>
        <v>22000</v>
      </c>
      <c r="W68" s="38" t="s">
        <v>88</v>
      </c>
      <c r="Y68" s="38">
        <v>11</v>
      </c>
      <c r="Z68" s="38">
        <f t="shared" si="22"/>
        <v>3.5481338923357554E-3</v>
      </c>
      <c r="AA68" s="38">
        <f t="shared" si="0"/>
        <v>52.561843963197589</v>
      </c>
      <c r="AB68" s="38">
        <f t="shared" si="1"/>
        <v>-6.6055721332858489E-2</v>
      </c>
      <c r="AC68" s="38">
        <f t="shared" si="2"/>
        <v>24.396956181083464</v>
      </c>
      <c r="AD68" s="38">
        <f t="shared" si="3"/>
        <v>90.061360868368155</v>
      </c>
      <c r="AE68" s="38">
        <f t="shared" si="23"/>
        <v>76.958800144281057</v>
      </c>
      <c r="AF68" s="38">
        <f t="shared" si="24"/>
        <v>89.995305147035296</v>
      </c>
      <c r="AH68" s="38">
        <v>11</v>
      </c>
      <c r="AI68" s="38">
        <f t="shared" si="4"/>
        <v>1.1000000000000001E-3</v>
      </c>
      <c r="AJ68" s="38">
        <f t="shared" si="5"/>
        <v>43.114298481085228</v>
      </c>
      <c r="AK68" s="38">
        <f t="shared" si="6"/>
        <v>6.2814643527961248E-6</v>
      </c>
      <c r="AL68" s="38">
        <f t="shared" si="7"/>
        <v>5.1981806367771283E-6</v>
      </c>
      <c r="AM68" s="38">
        <f t="shared" si="8"/>
        <v>159.19854731880488</v>
      </c>
      <c r="AN68" s="38">
        <f t="shared" si="9"/>
        <v>4.7110982645970923E-6</v>
      </c>
      <c r="AO68" s="38">
        <f t="shared" si="10"/>
        <v>4.0941353557524201E-6</v>
      </c>
      <c r="AP68" s="38">
        <f t="shared" si="11"/>
        <v>192.47693961284975</v>
      </c>
      <c r="AQ68" s="38">
        <f t="shared" si="12"/>
        <v>3.1407321763980624E-6</v>
      </c>
      <c r="AR68" s="38">
        <f t="shared" si="13"/>
        <v>3.3296167367950425E-6</v>
      </c>
      <c r="AS68" s="38">
        <f t="shared" si="14"/>
        <v>194.00965676177756</v>
      </c>
      <c r="AT68" s="38">
        <f t="shared" si="15"/>
        <v>1.5703660881990312E-6</v>
      </c>
      <c r="AU68" s="38">
        <f t="shared" si="16"/>
        <v>2.7679197465171539E-6</v>
      </c>
      <c r="AV68" s="38">
        <f t="shared" si="17"/>
        <v>140.370179591903</v>
      </c>
      <c r="AW68" s="42"/>
      <c r="AX68" s="38">
        <v>90</v>
      </c>
      <c r="AY68" s="38">
        <f t="shared" si="18"/>
        <v>2.2327268789257095</v>
      </c>
      <c r="AZ68" s="38">
        <f t="shared" si="19"/>
        <v>4.6783625730994159E-6</v>
      </c>
      <c r="BA68" s="38">
        <f t="shared" si="20"/>
        <v>0</v>
      </c>
      <c r="BB68" s="38">
        <f t="shared" si="21"/>
        <v>9.5305020805976448E-6</v>
      </c>
      <c r="BC68" s="38">
        <f t="shared" si="25"/>
        <v>4.6783625730994159E-6</v>
      </c>
      <c r="BD68" s="38">
        <f t="shared" si="26"/>
        <v>104.9262663753903</v>
      </c>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row>
    <row r="69" spans="1:194" ht="16.5" customHeight="1" x14ac:dyDescent="0.2">
      <c r="A69" s="1"/>
      <c r="E69" s="44"/>
      <c r="F69" s="44"/>
      <c r="G69" s="44"/>
      <c r="H69" s="44"/>
      <c r="I69" s="15"/>
      <c r="J69" s="15"/>
      <c r="K69" s="15"/>
      <c r="L69" s="15"/>
      <c r="M69" s="42"/>
      <c r="N69" s="42"/>
      <c r="O69" s="42"/>
      <c r="P69" s="42"/>
      <c r="U69" s="38" t="s">
        <v>125</v>
      </c>
      <c r="V69" s="38">
        <f>Rcs_2*(K_cs-1)</f>
        <v>2904000</v>
      </c>
      <c r="W69" s="38" t="s">
        <v>88</v>
      </c>
      <c r="Y69" s="38">
        <v>12</v>
      </c>
      <c r="Z69" s="38">
        <f t="shared" si="22"/>
        <v>3.9810717055349725E-3</v>
      </c>
      <c r="AA69" s="38">
        <f t="shared" si="0"/>
        <v>52.561842468565388</v>
      </c>
      <c r="AB69" s="38">
        <f t="shared" si="1"/>
        <v>-7.4115729845339415E-2</v>
      </c>
      <c r="AC69" s="38">
        <f t="shared" si="2"/>
        <v>23.396957668165481</v>
      </c>
      <c r="AD69" s="38">
        <f t="shared" si="3"/>
        <v>90.068848018181768</v>
      </c>
      <c r="AE69" s="38">
        <f t="shared" si="23"/>
        <v>75.958800136730872</v>
      </c>
      <c r="AF69" s="38">
        <f t="shared" si="24"/>
        <v>89.994732288336422</v>
      </c>
      <c r="AH69" s="38">
        <v>12</v>
      </c>
      <c r="AI69" s="38">
        <f t="shared" si="4"/>
        <v>1.1999999999999999E-3</v>
      </c>
      <c r="AJ69" s="38">
        <f t="shared" si="5"/>
        <v>46.854606154428048</v>
      </c>
      <c r="AK69" s="38">
        <f t="shared" si="6"/>
        <v>6.3971185100173952E-6</v>
      </c>
      <c r="AL69" s="38">
        <f t="shared" si="7"/>
        <v>5.1981806367771283E-6</v>
      </c>
      <c r="AM69" s="38">
        <f t="shared" si="8"/>
        <v>156.32038056416758</v>
      </c>
      <c r="AN69" s="38">
        <f t="shared" si="9"/>
        <v>4.7978388825130456E-6</v>
      </c>
      <c r="AO69" s="38">
        <f t="shared" si="10"/>
        <v>4.0907593194365508E-6</v>
      </c>
      <c r="AP69" s="38">
        <f t="shared" si="11"/>
        <v>189.30921057693689</v>
      </c>
      <c r="AQ69" s="38">
        <f t="shared" si="12"/>
        <v>3.1985592550086976E-6</v>
      </c>
      <c r="AR69" s="38">
        <f t="shared" si="13"/>
        <v>3.3187567605673754E-6</v>
      </c>
      <c r="AS69" s="38">
        <f t="shared" si="14"/>
        <v>191.75093755882088</v>
      </c>
      <c r="AT69" s="38">
        <f t="shared" si="15"/>
        <v>1.5992796275043488E-6</v>
      </c>
      <c r="AU69" s="38">
        <f t="shared" si="16"/>
        <v>2.7505028691193655E-6</v>
      </c>
      <c r="AV69" s="38">
        <f t="shared" si="17"/>
        <v>139.58351869286989</v>
      </c>
      <c r="AW69" s="42"/>
      <c r="AX69" s="38">
        <v>89</v>
      </c>
      <c r="AY69" s="38">
        <f t="shared" si="18"/>
        <v>2.2134743580487575</v>
      </c>
      <c r="AZ69" s="38">
        <f t="shared" si="19"/>
        <v>4.6263807667316452E-6</v>
      </c>
      <c r="BA69" s="38">
        <f t="shared" si="20"/>
        <v>0</v>
      </c>
      <c r="BB69" s="38">
        <f t="shared" si="21"/>
        <v>9.4246076130354491E-6</v>
      </c>
      <c r="BC69" s="38">
        <f t="shared" si="25"/>
        <v>4.6263807667316452E-6</v>
      </c>
      <c r="BD69" s="38">
        <f t="shared" si="26"/>
        <v>106.10521318859693</v>
      </c>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row>
    <row r="70" spans="1:194" ht="16.5" customHeight="1" x14ac:dyDescent="0.2">
      <c r="A70" s="1"/>
      <c r="E70" s="44"/>
      <c r="F70" s="44"/>
      <c r="G70" s="44"/>
      <c r="H70" s="44"/>
      <c r="I70" s="15"/>
      <c r="J70" s="15"/>
      <c r="K70" s="15"/>
      <c r="L70" s="15"/>
      <c r="M70" s="42"/>
      <c r="N70" s="42"/>
      <c r="O70" s="42"/>
      <c r="P70" s="42"/>
      <c r="U70" s="38" t="s">
        <v>126</v>
      </c>
      <c r="V70" s="38">
        <f>Rcs_2*(K_cs*N_a/N_p-1)</f>
        <v>270600</v>
      </c>
      <c r="W70" s="38" t="s">
        <v>88</v>
      </c>
      <c r="Y70" s="38">
        <v>13</v>
      </c>
      <c r="Z70" s="38">
        <f t="shared" si="22"/>
        <v>4.4668359215096322E-3</v>
      </c>
      <c r="AA70" s="38">
        <f t="shared" si="0"/>
        <v>52.561840586935666</v>
      </c>
      <c r="AB70" s="38">
        <f t="shared" si="1"/>
        <v>-8.3159204630638625E-2</v>
      </c>
      <c r="AC70" s="38">
        <f t="shared" si="2"/>
        <v>22.39695954029008</v>
      </c>
      <c r="AD70" s="38">
        <f t="shared" si="3"/>
        <v>90.077248734936475</v>
      </c>
      <c r="AE70" s="38">
        <f t="shared" si="23"/>
        <v>74.958800127225743</v>
      </c>
      <c r="AF70" s="38">
        <f t="shared" si="24"/>
        <v>89.994089530305843</v>
      </c>
      <c r="AH70" s="38">
        <v>13</v>
      </c>
      <c r="AI70" s="38">
        <f t="shared" si="4"/>
        <v>1.2999999999999999E-3</v>
      </c>
      <c r="AJ70" s="38">
        <f t="shared" si="5"/>
        <v>50.54867398832161</v>
      </c>
      <c r="AK70" s="38">
        <f t="shared" si="6"/>
        <v>6.5156004985306058E-6</v>
      </c>
      <c r="AL70" s="38">
        <f t="shared" si="7"/>
        <v>5.1981806367771283E-6</v>
      </c>
      <c r="AM70" s="38">
        <f t="shared" si="8"/>
        <v>153.47779536598651</v>
      </c>
      <c r="AN70" s="38">
        <f t="shared" si="9"/>
        <v>4.8867003738979537E-6</v>
      </c>
      <c r="AO70" s="38">
        <f t="shared" si="10"/>
        <v>4.0874197873598195E-6</v>
      </c>
      <c r="AP70" s="38">
        <f t="shared" si="11"/>
        <v>186.17058515024817</v>
      </c>
      <c r="AQ70" s="38">
        <f t="shared" si="12"/>
        <v>3.2578002492653029E-6</v>
      </c>
      <c r="AR70" s="38">
        <f t="shared" si="13"/>
        <v>3.3079734048199453E-6</v>
      </c>
      <c r="AS70" s="38">
        <f t="shared" si="14"/>
        <v>189.49348028577722</v>
      </c>
      <c r="AT70" s="38">
        <f t="shared" si="15"/>
        <v>1.6289001246326515E-6</v>
      </c>
      <c r="AU70" s="38">
        <f t="shared" si="16"/>
        <v>2.7331583998316524E-6</v>
      </c>
      <c r="AV70" s="38">
        <f t="shared" si="17"/>
        <v>138.79016476341937</v>
      </c>
      <c r="AW70" s="42"/>
      <c r="AX70" s="38">
        <v>88</v>
      </c>
      <c r="AY70" s="38">
        <f t="shared" si="18"/>
        <v>2.1942218371718045</v>
      </c>
      <c r="AZ70" s="38">
        <f t="shared" si="19"/>
        <v>4.574398960363872E-6</v>
      </c>
      <c r="BA70" s="38">
        <f t="shared" si="20"/>
        <v>0</v>
      </c>
      <c r="BB70" s="38">
        <f t="shared" si="21"/>
        <v>9.31871314547325E-6</v>
      </c>
      <c r="BC70" s="38">
        <f t="shared" si="25"/>
        <v>4.574398960363872E-6</v>
      </c>
      <c r="BD70" s="38">
        <f t="shared" si="26"/>
        <v>107.3109542475583</v>
      </c>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row>
    <row r="71" spans="1:194" ht="16.5" customHeight="1" x14ac:dyDescent="0.2">
      <c r="A71" s="1"/>
      <c r="E71" s="44"/>
      <c r="F71" s="44"/>
      <c r="G71" s="44"/>
      <c r="H71" s="44"/>
      <c r="I71" s="15"/>
      <c r="J71" s="15"/>
      <c r="K71" s="15"/>
      <c r="L71" s="15"/>
      <c r="M71" s="42"/>
      <c r="N71" s="42"/>
      <c r="O71" s="42"/>
      <c r="P71" s="42"/>
      <c r="U71" s="38" t="s">
        <v>128</v>
      </c>
      <c r="V71" s="38">
        <f>(Vline.max*2^0.5)^2 / (Rcs1.drain+Rcs_2)</f>
        <v>4.7639097744360905E-2</v>
      </c>
      <c r="W71" s="38" t="s">
        <v>19</v>
      </c>
      <c r="Y71" s="38">
        <v>14</v>
      </c>
      <c r="Z71" s="38">
        <f t="shared" si="22"/>
        <v>5.0118723362727229E-3</v>
      </c>
      <c r="AA71" s="38">
        <f t="shared" si="0"/>
        <v>52.561838218105343</v>
      </c>
      <c r="AB71" s="38">
        <f t="shared" si="1"/>
        <v>-9.3306145276237776E-2</v>
      </c>
      <c r="AC71" s="38">
        <f t="shared" si="2"/>
        <v>21.396961897154156</v>
      </c>
      <c r="AD71" s="38">
        <f t="shared" si="3"/>
        <v>90.086674489211887</v>
      </c>
      <c r="AE71" s="38">
        <f t="shared" si="23"/>
        <v>73.958800115259493</v>
      </c>
      <c r="AF71" s="38">
        <f t="shared" si="24"/>
        <v>89.993368343935643</v>
      </c>
      <c r="AH71" s="38">
        <v>14</v>
      </c>
      <c r="AI71" s="38">
        <f t="shared" si="4"/>
        <v>1.4000000000000002E-3</v>
      </c>
      <c r="AJ71" s="38">
        <f t="shared" si="5"/>
        <v>54.192856383804077</v>
      </c>
      <c r="AK71" s="38">
        <f t="shared" si="6"/>
        <v>6.6368628600268902E-6</v>
      </c>
      <c r="AL71" s="38">
        <f t="shared" si="7"/>
        <v>5.1981806367771283E-6</v>
      </c>
      <c r="AM71" s="38">
        <f t="shared" si="8"/>
        <v>150.67359701266273</v>
      </c>
      <c r="AN71" s="38">
        <f t="shared" si="9"/>
        <v>4.9776471450201668E-6</v>
      </c>
      <c r="AO71" s="38">
        <f t="shared" si="10"/>
        <v>4.084120234225525E-6</v>
      </c>
      <c r="AP71" s="38">
        <f t="shared" si="11"/>
        <v>183.06449250455535</v>
      </c>
      <c r="AQ71" s="38">
        <f t="shared" si="12"/>
        <v>3.3184314300134451E-6</v>
      </c>
      <c r="AR71" s="38">
        <f t="shared" si="13"/>
        <v>3.2972786378958048E-6</v>
      </c>
      <c r="AS71" s="38">
        <f t="shared" si="14"/>
        <v>187.23998473691981</v>
      </c>
      <c r="AT71" s="38">
        <f t="shared" si="15"/>
        <v>1.6592157150067226E-6</v>
      </c>
      <c r="AU71" s="38">
        <f t="shared" si="16"/>
        <v>2.7159054939399601E-6</v>
      </c>
      <c r="AV71" s="38">
        <f t="shared" si="17"/>
        <v>137.99094601438281</v>
      </c>
      <c r="AW71" s="42"/>
      <c r="AX71" s="38">
        <v>87</v>
      </c>
      <c r="AY71" s="38">
        <f t="shared" si="18"/>
        <v>2.1749693162948525</v>
      </c>
      <c r="AZ71" s="38">
        <f t="shared" si="19"/>
        <v>4.5224171539961014E-6</v>
      </c>
      <c r="BA71" s="38">
        <f t="shared" si="20"/>
        <v>4.5577499142037721E-9</v>
      </c>
      <c r="BB71" s="38">
        <f t="shared" si="21"/>
        <v>9.2128186779110542E-6</v>
      </c>
      <c r="BC71" s="38">
        <f t="shared" si="25"/>
        <v>4.524653370732421E-6</v>
      </c>
      <c r="BD71" s="38">
        <f t="shared" si="26"/>
        <v>108.43714832367515</v>
      </c>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row>
    <row r="72" spans="1:194" ht="16.5" customHeight="1" x14ac:dyDescent="0.2">
      <c r="A72" s="1"/>
      <c r="E72" s="44"/>
      <c r="F72" s="44"/>
      <c r="G72" s="44"/>
      <c r="H72" s="44"/>
      <c r="I72" s="15"/>
      <c r="J72" s="15"/>
      <c r="K72" s="15"/>
      <c r="L72" s="15"/>
      <c r="M72" s="42"/>
      <c r="N72" s="42"/>
      <c r="O72" s="42"/>
      <c r="P72" s="42"/>
      <c r="U72" s="38" t="s">
        <v>129</v>
      </c>
      <c r="V72" s="38">
        <f>(Vline.max*2^0.5*N_a/N_p)^2 / (Rcs1.aux+Rcs_2)</f>
        <v>4.7639097744360901E-3</v>
      </c>
      <c r="W72" s="38" t="s">
        <v>19</v>
      </c>
      <c r="Y72" s="38">
        <v>15</v>
      </c>
      <c r="Z72" s="38">
        <f t="shared" si="22"/>
        <v>5.6234132519034918E-3</v>
      </c>
      <c r="AA72" s="38">
        <f t="shared" si="0"/>
        <v>52.561835235926502</v>
      </c>
      <c r="AB72" s="38">
        <f t="shared" si="1"/>
        <v>-0.10469119293686761</v>
      </c>
      <c r="AC72" s="38">
        <f t="shared" si="2"/>
        <v>20.396964864268398</v>
      </c>
      <c r="AD72" s="38">
        <f t="shared" si="3"/>
        <v>90.097250352458687</v>
      </c>
      <c r="AE72" s="38">
        <f t="shared" si="23"/>
        <v>72.958800100194907</v>
      </c>
      <c r="AF72" s="38">
        <f t="shared" si="24"/>
        <v>89.992559159521818</v>
      </c>
      <c r="AH72" s="38">
        <v>15</v>
      </c>
      <c r="AI72" s="38">
        <f t="shared" si="4"/>
        <v>1.5E-3</v>
      </c>
      <c r="AJ72" s="38">
        <f t="shared" si="5"/>
        <v>57.783556972818559</v>
      </c>
      <c r="AK72" s="38">
        <f t="shared" si="6"/>
        <v>6.7608428224348771E-6</v>
      </c>
      <c r="AL72" s="38">
        <f t="shared" si="7"/>
        <v>5.1981806367771283E-6</v>
      </c>
      <c r="AM72" s="38">
        <f t="shared" si="8"/>
        <v>147.91055290941611</v>
      </c>
      <c r="AN72" s="38">
        <f t="shared" si="9"/>
        <v>5.0706321168261572E-6</v>
      </c>
      <c r="AO72" s="38">
        <f t="shared" si="10"/>
        <v>4.0808641094492217E-6</v>
      </c>
      <c r="AP72" s="38">
        <f t="shared" si="11"/>
        <v>179.99435782318193</v>
      </c>
      <c r="AQ72" s="38">
        <f t="shared" si="12"/>
        <v>3.3804214112174386E-6</v>
      </c>
      <c r="AR72" s="38">
        <f t="shared" si="13"/>
        <v>3.2866845292994671E-6</v>
      </c>
      <c r="AS72" s="38">
        <f t="shared" si="14"/>
        <v>184.99323970778539</v>
      </c>
      <c r="AT72" s="38">
        <f t="shared" si="15"/>
        <v>1.6902107056087193E-6</v>
      </c>
      <c r="AU72" s="38">
        <f t="shared" si="16"/>
        <v>2.6987637051446066E-6</v>
      </c>
      <c r="AV72" s="38">
        <f t="shared" si="17"/>
        <v>137.18675449107778</v>
      </c>
      <c r="AW72" s="42"/>
      <c r="AX72" s="38">
        <v>86</v>
      </c>
      <c r="AY72" s="38">
        <f t="shared" si="18"/>
        <v>2.1557167954179004</v>
      </c>
      <c r="AZ72" s="38">
        <f t="shared" si="19"/>
        <v>4.4704353476283307E-6</v>
      </c>
      <c r="BA72" s="38">
        <f t="shared" si="20"/>
        <v>2.2256162261603614E-8</v>
      </c>
      <c r="BB72" s="38">
        <f t="shared" si="21"/>
        <v>9.1069242103488602E-6</v>
      </c>
      <c r="BC72" s="38">
        <f t="shared" si="25"/>
        <v>4.4813339519196802E-6</v>
      </c>
      <c r="BD72" s="38">
        <f t="shared" si="26"/>
        <v>109.27310819602489</v>
      </c>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row>
    <row r="73" spans="1:194" ht="16.5" customHeight="1" x14ac:dyDescent="0.2">
      <c r="A73" s="1"/>
      <c r="E73" s="44"/>
      <c r="F73" s="44"/>
      <c r="G73" s="44"/>
      <c r="H73" s="44"/>
      <c r="I73" s="15"/>
      <c r="J73" s="15"/>
      <c r="K73" s="15"/>
      <c r="L73" s="15"/>
      <c r="M73" s="42"/>
      <c r="N73" s="42"/>
      <c r="O73" s="42"/>
      <c r="P73" s="42"/>
      <c r="U73" s="38" t="s">
        <v>134</v>
      </c>
      <c r="V73" s="38">
        <f>640*10^-6/(Rcs1.aux+Rcs_2)</f>
        <v>2.1872863978127135E-9</v>
      </c>
      <c r="W73" s="38" t="s">
        <v>50</v>
      </c>
      <c r="Y73" s="38">
        <v>16</v>
      </c>
      <c r="Z73" s="38">
        <f t="shared" si="22"/>
        <v>6.3095734448019346E-3</v>
      </c>
      <c r="AA73" s="38">
        <f t="shared" si="0"/>
        <v>52.561831481588683</v>
      </c>
      <c r="AB73" s="38">
        <f t="shared" si="1"/>
        <v>-0.11746541662965738</v>
      </c>
      <c r="AC73" s="38">
        <f t="shared" si="2"/>
        <v>19.396968599641003</v>
      </c>
      <c r="AD73" s="38">
        <f t="shared" si="3"/>
        <v>90.109116656309766</v>
      </c>
      <c r="AE73" s="38">
        <f t="shared" si="23"/>
        <v>71.958800081229683</v>
      </c>
      <c r="AF73" s="38">
        <f t="shared" si="24"/>
        <v>89.99165123968011</v>
      </c>
      <c r="AH73" s="38">
        <v>16</v>
      </c>
      <c r="AI73" s="38">
        <f t="shared" si="4"/>
        <v>1.6000000000000001E-3</v>
      </c>
      <c r="AJ73" s="38">
        <f t="shared" si="5"/>
        <v>61.317232167394252</v>
      </c>
      <c r="AK73" s="38">
        <f t="shared" si="6"/>
        <v>6.8874607581928388E-6</v>
      </c>
      <c r="AL73" s="38">
        <f t="shared" si="7"/>
        <v>5.1981806367771283E-6</v>
      </c>
      <c r="AM73" s="38">
        <f t="shared" si="8"/>
        <v>145.19138984719012</v>
      </c>
      <c r="AN73" s="38">
        <f t="shared" si="9"/>
        <v>5.1655955686446278E-6</v>
      </c>
      <c r="AO73" s="38">
        <f t="shared" si="10"/>
        <v>4.0776548330612226E-6</v>
      </c>
      <c r="AP73" s="38">
        <f t="shared" si="11"/>
        <v>176.96359767606029</v>
      </c>
      <c r="AQ73" s="38">
        <f t="shared" si="12"/>
        <v>3.4437303790964194E-6</v>
      </c>
      <c r="AR73" s="38">
        <f t="shared" si="13"/>
        <v>3.2762032360975705E-6</v>
      </c>
      <c r="AS73" s="38">
        <f t="shared" si="14"/>
        <v>182.75612087898941</v>
      </c>
      <c r="AT73" s="38">
        <f t="shared" si="15"/>
        <v>1.7218651895482097E-6</v>
      </c>
      <c r="AU73" s="38">
        <f t="shared" si="16"/>
        <v>2.6817529755463351E-6</v>
      </c>
      <c r="AV73" s="38">
        <f t="shared" si="17"/>
        <v>136.37854829659071</v>
      </c>
      <c r="AW73" s="42"/>
      <c r="AX73" s="38">
        <v>85</v>
      </c>
      <c r="AY73" s="38">
        <f t="shared" si="18"/>
        <v>2.1364642745409479</v>
      </c>
      <c r="AZ73" s="38">
        <f t="shared" si="19"/>
        <v>4.4184535412605592E-6</v>
      </c>
      <c r="BA73" s="38">
        <f t="shared" si="20"/>
        <v>4.0371007840707401E-8</v>
      </c>
      <c r="BB73" s="38">
        <f t="shared" si="21"/>
        <v>9.0010297427866628E-6</v>
      </c>
      <c r="BC73" s="38">
        <f t="shared" si="25"/>
        <v>4.4381828916327878E-6</v>
      </c>
      <c r="BD73" s="38">
        <f t="shared" si="26"/>
        <v>110.11284888904278</v>
      </c>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row>
    <row r="74" spans="1:194" ht="16.5" customHeight="1" x14ac:dyDescent="0.2">
      <c r="A74" s="1"/>
      <c r="E74" s="44"/>
      <c r="F74" s="44"/>
      <c r="G74" s="44"/>
      <c r="H74" s="44"/>
      <c r="I74" s="15"/>
      <c r="J74" s="15"/>
      <c r="K74" s="15"/>
      <c r="L74" s="15"/>
      <c r="M74" s="42"/>
      <c r="N74" s="42"/>
      <c r="O74" s="42"/>
      <c r="P74" s="42"/>
      <c r="U74" s="38" t="s">
        <v>135</v>
      </c>
      <c r="V74" s="38">
        <f>V27*10^-9</f>
        <v>2.2000000000000003E-9</v>
      </c>
      <c r="W74" s="38" t="s">
        <v>50</v>
      </c>
      <c r="Y74" s="38">
        <v>17</v>
      </c>
      <c r="Z74" s="38">
        <f t="shared" si="22"/>
        <v>7.0794578438413795E-3</v>
      </c>
      <c r="AA74" s="38">
        <f t="shared" si="0"/>
        <v>52.561826755162016</v>
      </c>
      <c r="AB74" s="38">
        <f t="shared" si="1"/>
        <v>-0.13179831738867087</v>
      </c>
      <c r="AC74" s="38">
        <f t="shared" si="2"/>
        <v>18.396973302191881</v>
      </c>
      <c r="AD74" s="38">
        <f t="shared" si="3"/>
        <v>90.122430854256379</v>
      </c>
      <c r="AE74" s="38">
        <f t="shared" si="23"/>
        <v>70.958800057353898</v>
      </c>
      <c r="AF74" s="38">
        <f t="shared" si="24"/>
        <v>89.990632536867707</v>
      </c>
      <c r="AH74" s="38">
        <v>17</v>
      </c>
      <c r="AI74" s="38">
        <f t="shared" si="4"/>
        <v>1.7000000000000001E-3</v>
      </c>
      <c r="AJ74" s="38">
        <f t="shared" si="5"/>
        <v>64.790394656739878</v>
      </c>
      <c r="AK74" s="38">
        <f t="shared" si="6"/>
        <v>7.0166185861999796E-6</v>
      </c>
      <c r="AL74" s="38">
        <f t="shared" si="7"/>
        <v>5.1981806367771283E-6</v>
      </c>
      <c r="AM74" s="38">
        <f t="shared" si="8"/>
        <v>142.51879131163867</v>
      </c>
      <c r="AN74" s="38">
        <f t="shared" si="9"/>
        <v>5.262463939649984E-6</v>
      </c>
      <c r="AO74" s="38">
        <f t="shared" si="10"/>
        <v>4.0744957915721345E-6</v>
      </c>
      <c r="AP74" s="38">
        <f t="shared" si="11"/>
        <v>173.97561526649309</v>
      </c>
      <c r="AQ74" s="38">
        <f t="shared" si="12"/>
        <v>3.5083092930999898E-6</v>
      </c>
      <c r="AR74" s="38">
        <f t="shared" si="13"/>
        <v>3.2658469882207337E-6</v>
      </c>
      <c r="AS74" s="38">
        <f t="shared" si="14"/>
        <v>180.53158811280088</v>
      </c>
      <c r="AT74" s="38">
        <f t="shared" si="15"/>
        <v>1.7541546465499949E-6</v>
      </c>
      <c r="AU74" s="38">
        <f t="shared" si="16"/>
        <v>2.6648936231171997E-6</v>
      </c>
      <c r="AV74" s="38">
        <f t="shared" si="17"/>
        <v>135.56735359349025</v>
      </c>
      <c r="AW74" s="42"/>
      <c r="AX74" s="38">
        <v>84</v>
      </c>
      <c r="AY74" s="38">
        <f t="shared" si="18"/>
        <v>2.1172117536639954</v>
      </c>
      <c r="AZ74" s="38">
        <f t="shared" si="19"/>
        <v>4.3664717348927878E-6</v>
      </c>
      <c r="BA74" s="38">
        <f t="shared" si="20"/>
        <v>5.8917159266932704E-8</v>
      </c>
      <c r="BB74" s="38">
        <f t="shared" si="21"/>
        <v>8.8951352752244653E-6</v>
      </c>
      <c r="BC74" s="38">
        <f t="shared" si="25"/>
        <v>4.3952041081847514E-6</v>
      </c>
      <c r="BD74" s="38">
        <f t="shared" si="26"/>
        <v>110.9559645924291</v>
      </c>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row>
    <row r="75" spans="1:194" ht="16.5" customHeight="1" x14ac:dyDescent="0.2">
      <c r="A75" s="1"/>
      <c r="E75" s="44"/>
      <c r="F75" s="44"/>
      <c r="G75" s="44"/>
      <c r="H75" s="44"/>
      <c r="I75" s="15"/>
      <c r="J75" s="15"/>
      <c r="K75" s="15"/>
      <c r="L75" s="15"/>
      <c r="M75" s="42"/>
      <c r="N75" s="42"/>
      <c r="O75" s="42"/>
      <c r="P75" s="42"/>
      <c r="Y75" s="38">
        <v>18</v>
      </c>
      <c r="Z75" s="38">
        <f t="shared" si="22"/>
        <v>7.9432823472428173E-3</v>
      </c>
      <c r="AA75" s="38">
        <f t="shared" si="0"/>
        <v>52.561820804950692</v>
      </c>
      <c r="AB75" s="38">
        <f t="shared" si="1"/>
        <v>-0.14788007681978696</v>
      </c>
      <c r="AC75" s="38">
        <f t="shared" si="2"/>
        <v>17.396979222345376</v>
      </c>
      <c r="AD75" s="38">
        <f t="shared" si="3"/>
        <v>90.137369610339618</v>
      </c>
      <c r="AE75" s="38">
        <f t="shared" si="23"/>
        <v>69.958800027296064</v>
      </c>
      <c r="AF75" s="38">
        <f t="shared" si="24"/>
        <v>89.98948953351983</v>
      </c>
      <c r="AH75" s="38">
        <v>18</v>
      </c>
      <c r="AI75" s="38">
        <f t="shared" si="4"/>
        <v>1.8E-3</v>
      </c>
      <c r="AJ75" s="38">
        <f t="shared" si="5"/>
        <v>68.199616848798442</v>
      </c>
      <c r="AK75" s="38">
        <f t="shared" si="6"/>
        <v>7.1481981317578596E-6</v>
      </c>
      <c r="AL75" s="38">
        <f t="shared" si="7"/>
        <v>5.1981806367771283E-6</v>
      </c>
      <c r="AM75" s="38">
        <f t="shared" si="8"/>
        <v>139.89539483484961</v>
      </c>
      <c r="AN75" s="38">
        <f t="shared" si="9"/>
        <v>5.3611485988183936E-6</v>
      </c>
      <c r="AO75" s="38">
        <f t="shared" si="10"/>
        <v>4.0713903338078146E-6</v>
      </c>
      <c r="AP75" s="38">
        <f t="shared" si="11"/>
        <v>171.03379555790173</v>
      </c>
      <c r="AQ75" s="38">
        <f t="shared" si="12"/>
        <v>3.5740990658789298E-6</v>
      </c>
      <c r="AR75" s="38">
        <f t="shared" si="13"/>
        <v>3.2556280726348109E-6</v>
      </c>
      <c r="AS75" s="38">
        <f t="shared" si="14"/>
        <v>178.32268212593803</v>
      </c>
      <c r="AT75" s="38">
        <f t="shared" si="15"/>
        <v>1.7870495329394649E-6</v>
      </c>
      <c r="AU75" s="38">
        <f t="shared" si="16"/>
        <v>2.648206326405131E-6</v>
      </c>
      <c r="AV75" s="38">
        <f t="shared" si="17"/>
        <v>134.75426633142425</v>
      </c>
      <c r="AW75" s="42"/>
      <c r="AX75" s="38">
        <v>83</v>
      </c>
      <c r="AY75" s="38">
        <f t="shared" si="18"/>
        <v>2.0979592327870433</v>
      </c>
      <c r="AZ75" s="38">
        <f t="shared" si="19"/>
        <v>4.3144899285250171E-6</v>
      </c>
      <c r="BA75" s="38">
        <f t="shared" si="20"/>
        <v>7.7910205908247333E-8</v>
      </c>
      <c r="BB75" s="38">
        <f t="shared" si="21"/>
        <v>8.7892408076622713E-6</v>
      </c>
      <c r="BC75" s="38">
        <f t="shared" si="25"/>
        <v>4.3524016012277098E-6</v>
      </c>
      <c r="BD75" s="38">
        <f t="shared" si="26"/>
        <v>111.80201550179575</v>
      </c>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row>
    <row r="76" spans="1:194" ht="16.5" customHeight="1" x14ac:dyDescent="0.2">
      <c r="A76" s="1"/>
      <c r="E76" s="44"/>
      <c r="F76" s="44"/>
      <c r="G76" s="44"/>
      <c r="H76" s="44"/>
      <c r="I76" s="15"/>
      <c r="J76" s="15"/>
      <c r="K76" s="15"/>
      <c r="L76" s="15"/>
      <c r="M76" s="42"/>
      <c r="N76" s="42"/>
      <c r="O76" s="42"/>
      <c r="P76" s="42"/>
      <c r="U76" s="40" t="s">
        <v>197</v>
      </c>
      <c r="Y76" s="38">
        <v>19</v>
      </c>
      <c r="Z76" s="38">
        <f t="shared" si="22"/>
        <v>8.9125093813374572E-3</v>
      </c>
      <c r="AA76" s="38">
        <f t="shared" si="0"/>
        <v>52.561813314090038</v>
      </c>
      <c r="AB76" s="38">
        <f t="shared" si="1"/>
        <v>-0.16592407981808255</v>
      </c>
      <c r="AC76" s="38">
        <f t="shared" si="2"/>
        <v>16.396986675365451</v>
      </c>
      <c r="AD76" s="38">
        <f t="shared" si="3"/>
        <v>90.154131142498258</v>
      </c>
      <c r="AE76" s="38">
        <f t="shared" si="23"/>
        <v>68.958799989455486</v>
      </c>
      <c r="AF76" s="38">
        <f t="shared" si="24"/>
        <v>89.988207062680175</v>
      </c>
      <c r="AH76" s="38">
        <v>19</v>
      </c>
      <c r="AI76" s="38">
        <f t="shared" si="4"/>
        <v>1.9E-3</v>
      </c>
      <c r="AJ76" s="38">
        <f t="shared" si="5"/>
        <v>71.541534252866768</v>
      </c>
      <c r="AK76" s="38">
        <f t="shared" si="6"/>
        <v>7.2820594627081067E-6</v>
      </c>
      <c r="AL76" s="38">
        <f t="shared" si="7"/>
        <v>5.1981806367771283E-6</v>
      </c>
      <c r="AM76" s="38">
        <f t="shared" si="8"/>
        <v>137.323789392419</v>
      </c>
      <c r="AN76" s="38">
        <f t="shared" si="9"/>
        <v>5.4615445970310794E-6</v>
      </c>
      <c r="AO76" s="38">
        <f t="shared" si="10"/>
        <v>4.068341766720486E-6</v>
      </c>
      <c r="AP76" s="38">
        <f t="shared" si="11"/>
        <v>168.14150028977451</v>
      </c>
      <c r="AQ76" s="38">
        <f t="shared" si="12"/>
        <v>3.6410297313540533E-6</v>
      </c>
      <c r="AR76" s="38">
        <f t="shared" si="13"/>
        <v>3.245558816355318E-6</v>
      </c>
      <c r="AS76" s="38">
        <f t="shared" si="14"/>
        <v>176.13252050410892</v>
      </c>
      <c r="AT76" s="38">
        <f t="shared" si="15"/>
        <v>1.8205148656770267E-6</v>
      </c>
      <c r="AU76" s="38">
        <f t="shared" si="16"/>
        <v>2.6317121062140548E-6</v>
      </c>
      <c r="AV76" s="38">
        <f t="shared" si="17"/>
        <v>133.94045364346175</v>
      </c>
      <c r="AW76" s="42"/>
      <c r="AX76" s="38">
        <v>82</v>
      </c>
      <c r="AY76" s="38">
        <f t="shared" si="18"/>
        <v>2.0787067119100904</v>
      </c>
      <c r="AZ76" s="38">
        <f t="shared" si="19"/>
        <v>4.2625081221572439E-6</v>
      </c>
      <c r="BA76" s="38">
        <f t="shared" si="20"/>
        <v>9.7366497589594928E-8</v>
      </c>
      <c r="BB76" s="38">
        <f t="shared" si="21"/>
        <v>8.6833463401000722E-6</v>
      </c>
      <c r="BC76" s="38">
        <f t="shared" si="25"/>
        <v>4.3097794517239158E-6</v>
      </c>
      <c r="BD76" s="38">
        <f t="shared" si="26"/>
        <v>112.65052583417348</v>
      </c>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row>
    <row r="77" spans="1:194" ht="16.5" customHeight="1" x14ac:dyDescent="0.2">
      <c r="A77" s="1"/>
      <c r="E77" s="44"/>
      <c r="F77" s="44"/>
      <c r="G77" s="44"/>
      <c r="H77" s="44"/>
      <c r="I77" s="15"/>
      <c r="J77" s="15"/>
      <c r="K77" s="15"/>
      <c r="L77" s="15"/>
      <c r="M77" s="42"/>
      <c r="N77" s="42"/>
      <c r="O77" s="42"/>
      <c r="P77" s="42"/>
      <c r="U77" s="38" t="s">
        <v>32</v>
      </c>
      <c r="V77" s="38">
        <f>N36/10^6</f>
        <v>2.0000000000000001E-4</v>
      </c>
      <c r="W77" s="38" t="s">
        <v>30</v>
      </c>
      <c r="Y77" s="38">
        <v>20</v>
      </c>
      <c r="Z77" s="38">
        <f t="shared" si="22"/>
        <v>0.01</v>
      </c>
      <c r="AA77" s="38">
        <f t="shared" si="0"/>
        <v>52.561803883673583</v>
      </c>
      <c r="AB77" s="38">
        <f t="shared" si="1"/>
        <v>-0.186169744816993</v>
      </c>
      <c r="AC77" s="38">
        <f t="shared" si="2"/>
        <v>15.396996058143456</v>
      </c>
      <c r="AD77" s="38">
        <f t="shared" si="3"/>
        <v>90.172937851562111</v>
      </c>
      <c r="AE77" s="38">
        <f t="shared" si="23"/>
        <v>67.958799941817034</v>
      </c>
      <c r="AF77" s="38">
        <f t="shared" si="24"/>
        <v>89.986768106745117</v>
      </c>
      <c r="AH77" s="38">
        <v>20</v>
      </c>
      <c r="AI77" s="38">
        <f t="shared" si="4"/>
        <v>2E-3</v>
      </c>
      <c r="AJ77" s="38">
        <f t="shared" si="5"/>
        <v>74.812848799941619</v>
      </c>
      <c r="AK77" s="38">
        <f t="shared" si="6"/>
        <v>7.4180392242935731E-6</v>
      </c>
      <c r="AL77" s="38">
        <f t="shared" si="7"/>
        <v>5.1981806367771283E-6</v>
      </c>
      <c r="AM77" s="38">
        <f t="shared" si="8"/>
        <v>134.80651284844492</v>
      </c>
      <c r="AN77" s="38">
        <f t="shared" si="9"/>
        <v>5.5635294182201794E-6</v>
      </c>
      <c r="AO77" s="38">
        <f t="shared" si="10"/>
        <v>4.0653533511832089E-6</v>
      </c>
      <c r="AP77" s="38">
        <f t="shared" si="11"/>
        <v>165.30206289295413</v>
      </c>
      <c r="AQ77" s="38">
        <f t="shared" si="12"/>
        <v>3.7090196121467865E-6</v>
      </c>
      <c r="AR77" s="38">
        <f t="shared" si="13"/>
        <v>3.2356515682853729E-6</v>
      </c>
      <c r="AS77" s="38">
        <f t="shared" si="14"/>
        <v>173.96429302659499</v>
      </c>
      <c r="AT77" s="38">
        <f t="shared" si="15"/>
        <v>1.8545098060733933E-6</v>
      </c>
      <c r="AU77" s="38">
        <f t="shared" si="16"/>
        <v>2.6154323039974655E-6</v>
      </c>
      <c r="AV77" s="38">
        <f t="shared" si="17"/>
        <v>133.12715484972301</v>
      </c>
      <c r="AW77" s="42"/>
      <c r="AX77" s="38">
        <v>81</v>
      </c>
      <c r="AY77" s="38">
        <f t="shared" si="18"/>
        <v>2.0594541910331383</v>
      </c>
      <c r="AZ77" s="38">
        <f t="shared" si="19"/>
        <v>4.2105263157894733E-6</v>
      </c>
      <c r="BA77" s="38">
        <f t="shared" si="20"/>
        <v>1.1730319153467858E-7</v>
      </c>
      <c r="BB77" s="38">
        <f t="shared" si="21"/>
        <v>8.5774518725378781E-6</v>
      </c>
      <c r="BC77" s="38">
        <f t="shared" si="25"/>
        <v>4.267341821740415E-6</v>
      </c>
      <c r="BD77" s="38">
        <f t="shared" si="26"/>
        <v>113.50098175863178</v>
      </c>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row>
    <row r="78" spans="1:194" ht="16.5" customHeight="1" x14ac:dyDescent="0.2">
      <c r="A78" s="1"/>
      <c r="E78" s="44"/>
      <c r="F78" s="44"/>
      <c r="G78" s="44"/>
      <c r="H78" s="44"/>
      <c r="I78" s="15"/>
      <c r="J78" s="15"/>
      <c r="K78" s="15"/>
      <c r="L78" s="15"/>
      <c r="M78" s="42"/>
      <c r="N78" s="42"/>
      <c r="O78" s="42"/>
      <c r="P78" s="42"/>
      <c r="U78" s="38" t="s">
        <v>179</v>
      </c>
      <c r="V78" s="38">
        <f>IF(Vline.sim&gt;AVERAGE(N21:N22),Ton.max.HL,Ton.max)</f>
        <v>1.08E-5</v>
      </c>
      <c r="W78" s="38" t="s">
        <v>180</v>
      </c>
      <c r="Y78" s="38">
        <v>21</v>
      </c>
      <c r="Z78" s="38">
        <f t="shared" si="22"/>
        <v>1.1220184543019636E-2</v>
      </c>
      <c r="AA78" s="38">
        <f t="shared" si="0"/>
        <v>52.56179201151177</v>
      </c>
      <c r="AB78" s="38">
        <f t="shared" si="1"/>
        <v>-0.20888569897570022</v>
      </c>
      <c r="AC78" s="38">
        <f t="shared" si="2"/>
        <v>14.397007870331997</v>
      </c>
      <c r="AD78" s="38">
        <f t="shared" si="3"/>
        <v>90.194039270626703</v>
      </c>
      <c r="AE78" s="38">
        <f t="shared" si="23"/>
        <v>66.95879988184376</v>
      </c>
      <c r="AF78" s="38">
        <f t="shared" si="24"/>
        <v>89.985153571650997</v>
      </c>
      <c r="AH78" s="38">
        <v>21</v>
      </c>
      <c r="AI78" s="38">
        <f t="shared" si="4"/>
        <v>2.0999999999999999E-3</v>
      </c>
      <c r="AJ78" s="38">
        <f t="shared" si="5"/>
        <v>78.010332097515629</v>
      </c>
      <c r="AK78" s="38">
        <f t="shared" si="6"/>
        <v>7.55594899997775E-6</v>
      </c>
      <c r="AL78" s="38">
        <f t="shared" si="7"/>
        <v>5.1981806367771283E-6</v>
      </c>
      <c r="AM78" s="38">
        <f t="shared" si="8"/>
        <v>132.34604945096171</v>
      </c>
      <c r="AN78" s="38">
        <f t="shared" si="9"/>
        <v>5.6669617499833114E-6</v>
      </c>
      <c r="AO78" s="38">
        <f t="shared" si="10"/>
        <v>4.0624282977752197E-6</v>
      </c>
      <c r="AP78" s="38">
        <f t="shared" si="11"/>
        <v>162.5187833153243</v>
      </c>
      <c r="AQ78" s="38">
        <f t="shared" si="12"/>
        <v>3.777974499988875E-6</v>
      </c>
      <c r="AR78" s="38">
        <f t="shared" si="13"/>
        <v>3.2259186798650235E-6</v>
      </c>
      <c r="AS78" s="38">
        <f t="shared" si="14"/>
        <v>171.82125627271807</v>
      </c>
      <c r="AT78" s="38">
        <f t="shared" si="15"/>
        <v>1.8889872499944375E-6</v>
      </c>
      <c r="AU78" s="38">
        <f t="shared" si="16"/>
        <v>2.5993885567030454E-6</v>
      </c>
      <c r="AV78" s="38">
        <f t="shared" si="17"/>
        <v>132.31568200297036</v>
      </c>
      <c r="AW78" s="42"/>
      <c r="AX78" s="38">
        <v>80</v>
      </c>
      <c r="AY78" s="38">
        <f t="shared" si="18"/>
        <v>2.0402016701561863</v>
      </c>
      <c r="AZ78" s="38">
        <f t="shared" si="19"/>
        <v>4.1585445094217026E-6</v>
      </c>
      <c r="BA78" s="38">
        <f t="shared" si="20"/>
        <v>1.3773830282838935E-7</v>
      </c>
      <c r="BB78" s="38">
        <f t="shared" si="21"/>
        <v>8.4715574049756824E-6</v>
      </c>
      <c r="BC78" s="38">
        <f t="shared" si="25"/>
        <v>4.2250929540526745E-6</v>
      </c>
      <c r="BD78" s="38">
        <f t="shared" si="26"/>
        <v>114.35282924135969</v>
      </c>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row>
    <row r="79" spans="1:194" ht="16.5" customHeight="1" x14ac:dyDescent="0.2">
      <c r="A79" s="1"/>
      <c r="E79" s="44"/>
      <c r="F79" s="44"/>
      <c r="G79" s="44"/>
      <c r="H79" s="44"/>
      <c r="I79" s="15"/>
      <c r="J79" s="15"/>
      <c r="K79" s="15"/>
      <c r="L79" s="15"/>
      <c r="M79" s="42"/>
      <c r="N79" s="42"/>
      <c r="O79" s="42"/>
      <c r="P79" s="42"/>
      <c r="U79" s="38" t="s">
        <v>181</v>
      </c>
      <c r="V79" s="38">
        <f>Po.max/Vout.sim</f>
        <v>0.4</v>
      </c>
      <c r="W79" s="38" t="s">
        <v>182</v>
      </c>
      <c r="Y79" s="38">
        <v>22</v>
      </c>
      <c r="Z79" s="38">
        <f t="shared" si="22"/>
        <v>1.258925411794168E-2</v>
      </c>
      <c r="AA79" s="38">
        <f t="shared" si="0"/>
        <v>52.56177706539173</v>
      </c>
      <c r="AB79" s="38">
        <f t="shared" si="1"/>
        <v>-0.2343733402267652</v>
      </c>
      <c r="AC79" s="38">
        <f t="shared" si="2"/>
        <v>13.397022740950172</v>
      </c>
      <c r="AD79" s="38">
        <f t="shared" si="3"/>
        <v>90.217715373735246</v>
      </c>
      <c r="AE79" s="38">
        <f t="shared" si="23"/>
        <v>65.958799806341901</v>
      </c>
      <c r="AF79" s="38">
        <f t="shared" si="24"/>
        <v>89.983342033508478</v>
      </c>
      <c r="AH79" s="38">
        <v>22</v>
      </c>
      <c r="AI79" s="38">
        <f t="shared" si="4"/>
        <v>2.2000000000000001E-3</v>
      </c>
      <c r="AJ79" s="38">
        <f t="shared" si="5"/>
        <v>81.130828615610923</v>
      </c>
      <c r="AK79" s="38">
        <f t="shared" si="6"/>
        <v>7.6955737304838657E-6</v>
      </c>
      <c r="AL79" s="38">
        <f t="shared" si="7"/>
        <v>5.1981806367771283E-6</v>
      </c>
      <c r="AM79" s="38">
        <f t="shared" si="8"/>
        <v>129.94482738028736</v>
      </c>
      <c r="AN79" s="38">
        <f t="shared" si="9"/>
        <v>5.771680297862898E-6</v>
      </c>
      <c r="AO79" s="38">
        <f t="shared" si="10"/>
        <v>4.0595697625660715E-6</v>
      </c>
      <c r="AP79" s="38">
        <f t="shared" si="11"/>
        <v>159.79492276985556</v>
      </c>
      <c r="AQ79" s="38">
        <f t="shared" si="12"/>
        <v>3.8477868652419329E-6</v>
      </c>
      <c r="AR79" s="38">
        <f t="shared" si="13"/>
        <v>3.2163724845285269E-6</v>
      </c>
      <c r="AS79" s="38">
        <f t="shared" si="14"/>
        <v>169.70672748637972</v>
      </c>
      <c r="AT79" s="38">
        <f t="shared" si="15"/>
        <v>1.9238934326209664E-6</v>
      </c>
      <c r="AU79" s="38">
        <f t="shared" si="16"/>
        <v>2.5836027678100863E-6</v>
      </c>
      <c r="AV79" s="38">
        <f t="shared" si="17"/>
        <v>131.50741990761063</v>
      </c>
      <c r="AW79" s="42"/>
      <c r="AX79" s="38">
        <v>79</v>
      </c>
      <c r="AY79" s="38">
        <f t="shared" si="18"/>
        <v>2.0209491492792342</v>
      </c>
      <c r="AZ79" s="38">
        <f t="shared" si="19"/>
        <v>4.106562703053932E-6</v>
      </c>
      <c r="BA79" s="38">
        <f t="shared" si="20"/>
        <v>1.5869075871181427E-7</v>
      </c>
      <c r="BB79" s="38">
        <f t="shared" si="21"/>
        <v>8.3656629374134884E-6</v>
      </c>
      <c r="BC79" s="38">
        <f t="shared" si="25"/>
        <v>4.1830371715419214E-6</v>
      </c>
      <c r="BD79" s="38">
        <f t="shared" si="26"/>
        <v>115.20547180495291</v>
      </c>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row>
    <row r="80" spans="1:194" ht="16.5" customHeight="1" x14ac:dyDescent="0.2">
      <c r="A80" s="1"/>
      <c r="E80" s="44"/>
      <c r="F80" s="44"/>
      <c r="G80" s="44"/>
      <c r="H80" s="44"/>
      <c r="I80" s="15"/>
      <c r="J80" s="15"/>
      <c r="K80" s="15"/>
      <c r="L80" s="15"/>
      <c r="M80" s="42"/>
      <c r="N80" s="42"/>
      <c r="O80" s="42"/>
      <c r="P80" s="42"/>
      <c r="U80" s="38" t="s">
        <v>183</v>
      </c>
      <c r="V80" s="38">
        <f>Vline.sim^2/2/Lbst.sim*Ton.max.sim*(VCTRL.FF-0.5)/4</f>
        <v>91.853999999999999</v>
      </c>
      <c r="W80" s="38" t="s">
        <v>184</v>
      </c>
      <c r="Y80" s="38">
        <v>23</v>
      </c>
      <c r="Z80" s="38">
        <f t="shared" si="22"/>
        <v>1.4125375446227544E-2</v>
      </c>
      <c r="AA80" s="38">
        <f t="shared" si="0"/>
        <v>52.561758249414538</v>
      </c>
      <c r="AB80" s="38">
        <f t="shared" si="1"/>
        <v>-0.26297083315247405</v>
      </c>
      <c r="AC80" s="38">
        <f t="shared" si="2"/>
        <v>12.397041461876155</v>
      </c>
      <c r="AD80" s="38">
        <f t="shared" si="3"/>
        <v>90.244280287474211</v>
      </c>
      <c r="AE80" s="38">
        <f t="shared" si="23"/>
        <v>64.958799711290695</v>
      </c>
      <c r="AF80" s="38">
        <f t="shared" si="24"/>
        <v>89.981309454321732</v>
      </c>
      <c r="AH80" s="38">
        <v>23</v>
      </c>
      <c r="AI80" s="38">
        <f t="shared" si="4"/>
        <v>2.3E-3</v>
      </c>
      <c r="AJ80" s="38">
        <f t="shared" si="5"/>
        <v>84.17125880090623</v>
      </c>
      <c r="AK80" s="38">
        <f t="shared" si="6"/>
        <v>7.8366702285585698E-6</v>
      </c>
      <c r="AL80" s="38">
        <f t="shared" si="7"/>
        <v>5.1981806367771283E-6</v>
      </c>
      <c r="AM80" s="38">
        <f t="shared" si="8"/>
        <v>127.60521635270264</v>
      </c>
      <c r="AN80" s="38">
        <f t="shared" si="9"/>
        <v>5.8775026714189265E-6</v>
      </c>
      <c r="AO80" s="38">
        <f t="shared" si="10"/>
        <v>4.0567808429068288E-6</v>
      </c>
      <c r="AP80" s="38">
        <f t="shared" si="11"/>
        <v>157.13369841784993</v>
      </c>
      <c r="AQ80" s="38">
        <f t="shared" si="12"/>
        <v>3.9183351142792849E-6</v>
      </c>
      <c r="AR80" s="38">
        <f t="shared" si="13"/>
        <v>3.207025275975803E-6</v>
      </c>
      <c r="AS80" s="38">
        <f t="shared" si="14"/>
        <v>167.62407768006199</v>
      </c>
      <c r="AT80" s="38">
        <f t="shared" si="15"/>
        <v>1.9591675571396425E-6</v>
      </c>
      <c r="AU80" s="38">
        <f t="shared" si="16"/>
        <v>2.5680970743108465E-6</v>
      </c>
      <c r="AV80" s="38">
        <f t="shared" si="17"/>
        <v>130.70382554120371</v>
      </c>
      <c r="AW80" s="42"/>
      <c r="AX80" s="38">
        <v>78</v>
      </c>
      <c r="AY80" s="38">
        <f t="shared" si="18"/>
        <v>2.0016966284022812</v>
      </c>
      <c r="AZ80" s="38">
        <f t="shared" si="19"/>
        <v>4.0545808966861596E-6</v>
      </c>
      <c r="BA80" s="38">
        <f t="shared" si="20"/>
        <v>1.8018045705378956E-7</v>
      </c>
      <c r="BB80" s="38">
        <f t="shared" si="21"/>
        <v>8.2597684698512893E-6</v>
      </c>
      <c r="BC80" s="38">
        <f t="shared" si="25"/>
        <v>4.1411788763704298E-6</v>
      </c>
      <c r="BD80" s="38">
        <f t="shared" si="26"/>
        <v>116.05826820210267</v>
      </c>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row>
    <row r="81" spans="1:194" ht="16.5" customHeight="1" x14ac:dyDescent="0.2">
      <c r="A81" s="1"/>
      <c r="E81" s="44"/>
      <c r="F81" s="44"/>
      <c r="G81" s="44"/>
      <c r="H81" s="44"/>
      <c r="I81" s="15"/>
      <c r="J81" s="15"/>
      <c r="K81" s="15"/>
      <c r="L81" s="15"/>
      <c r="M81" s="42"/>
      <c r="N81" s="42"/>
      <c r="O81" s="42"/>
      <c r="P81" s="42"/>
      <c r="U81" s="38" t="s">
        <v>185</v>
      </c>
      <c r="V81" s="38">
        <f>Pin.ff*Eff.sim/100</f>
        <v>87.261299999999991</v>
      </c>
      <c r="W81" s="38" t="s">
        <v>184</v>
      </c>
      <c r="Y81" s="38">
        <v>24</v>
      </c>
      <c r="Z81" s="38">
        <f t="shared" si="22"/>
        <v>1.5848931924611138E-2</v>
      </c>
      <c r="AA81" s="38">
        <f t="shared" si="0"/>
        <v>52.561734561618614</v>
      </c>
      <c r="AB81" s="38">
        <f t="shared" si="1"/>
        <v>-0.29505759129221187</v>
      </c>
      <c r="AC81" s="38">
        <f t="shared" si="2"/>
        <v>11.397065030009689</v>
      </c>
      <c r="AD81" s="38">
        <f t="shared" si="3"/>
        <v>90.274086454312823</v>
      </c>
      <c r="AE81" s="38">
        <f t="shared" si="23"/>
        <v>63.958799591628306</v>
      </c>
      <c r="AF81" s="38">
        <f t="shared" si="24"/>
        <v>89.979028863020616</v>
      </c>
      <c r="AH81" s="38">
        <v>24</v>
      </c>
      <c r="AI81" s="38">
        <f t="shared" si="4"/>
        <v>2.3999999999999998E-3</v>
      </c>
      <c r="AJ81" s="38">
        <f t="shared" si="5"/>
        <v>87.128622115884284</v>
      </c>
      <c r="AK81" s="38">
        <f t="shared" si="6"/>
        <v>7.978965832283429E-6</v>
      </c>
      <c r="AL81" s="38">
        <f t="shared" si="7"/>
        <v>5.1981806367771283E-6</v>
      </c>
      <c r="AM81" s="38">
        <f t="shared" si="8"/>
        <v>125.32952528182702</v>
      </c>
      <c r="AN81" s="38">
        <f t="shared" si="9"/>
        <v>5.9842243742125713E-6</v>
      </c>
      <c r="AO81" s="38">
        <f t="shared" si="10"/>
        <v>4.0540645732368965E-6</v>
      </c>
      <c r="AP81" s="38">
        <f t="shared" si="11"/>
        <v>154.53827800106959</v>
      </c>
      <c r="AQ81" s="38">
        <f t="shared" si="12"/>
        <v>3.9894829161417145E-6</v>
      </c>
      <c r="AR81" s="38">
        <f t="shared" si="13"/>
        <v>3.1978892852750938E-6</v>
      </c>
      <c r="AS81" s="38">
        <f t="shared" si="14"/>
        <v>165.57672396574509</v>
      </c>
      <c r="AT81" s="38">
        <f t="shared" si="15"/>
        <v>1.9947414580708572E-6</v>
      </c>
      <c r="AU81" s="38">
        <f t="shared" si="16"/>
        <v>2.5528938094023915E-6</v>
      </c>
      <c r="AV81" s="38">
        <f t="shared" si="17"/>
        <v>129.90642680633528</v>
      </c>
      <c r="AW81" s="42"/>
      <c r="AX81" s="38">
        <v>77</v>
      </c>
      <c r="AY81" s="38">
        <f t="shared" si="18"/>
        <v>1.9824441075253292</v>
      </c>
      <c r="AZ81" s="38">
        <f t="shared" si="19"/>
        <v>4.002599090318389E-6</v>
      </c>
      <c r="BA81" s="38">
        <f t="shared" si="20"/>
        <v>2.022283293786723E-7</v>
      </c>
      <c r="BB81" s="38">
        <f t="shared" si="21"/>
        <v>8.1538740022890952E-6</v>
      </c>
      <c r="BC81" s="38">
        <f t="shared" si="25"/>
        <v>4.0995225489185517E-6</v>
      </c>
      <c r="BD81" s="38">
        <f t="shared" si="26"/>
        <v>116.91053000439079</v>
      </c>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row>
    <row r="82" spans="1:194" ht="16.5" customHeight="1" x14ac:dyDescent="0.2">
      <c r="A82" s="1"/>
      <c r="E82" s="44"/>
      <c r="F82" s="44"/>
      <c r="G82" s="44"/>
      <c r="H82" s="44"/>
      <c r="I82" s="15"/>
      <c r="J82" s="15"/>
      <c r="K82" s="15"/>
      <c r="L82" s="15"/>
      <c r="M82" s="42"/>
      <c r="N82" s="42"/>
      <c r="O82" s="42"/>
      <c r="P82" s="42"/>
      <c r="U82" s="38" t="s">
        <v>186</v>
      </c>
      <c r="V82" s="38">
        <f>Pout.ff/Vout.sim</f>
        <v>0.34904519999999994</v>
      </c>
      <c r="W82" s="38" t="s">
        <v>182</v>
      </c>
      <c r="Y82" s="38">
        <v>25</v>
      </c>
      <c r="Z82" s="38">
        <f t="shared" si="22"/>
        <v>1.7782794100389236E-2</v>
      </c>
      <c r="AA82" s="38">
        <f t="shared" si="0"/>
        <v>52.561704740634092</v>
      </c>
      <c r="AB82" s="38">
        <f t="shared" si="1"/>
        <v>-0.3310593047643714</v>
      </c>
      <c r="AC82" s="38">
        <f t="shared" si="2"/>
        <v>10.397094700348198</v>
      </c>
      <c r="AD82" s="38">
        <f t="shared" si="3"/>
        <v>90.307529302337869</v>
      </c>
      <c r="AE82" s="38">
        <f t="shared" si="23"/>
        <v>62.95879944098229</v>
      </c>
      <c r="AF82" s="38">
        <f t="shared" si="24"/>
        <v>89.976469997573503</v>
      </c>
      <c r="AH82" s="38">
        <v>25</v>
      </c>
      <c r="AI82" s="38">
        <f t="shared" si="4"/>
        <v>2.5000000000000001E-3</v>
      </c>
      <c r="AJ82" s="38">
        <f t="shared" si="5"/>
        <v>90</v>
      </c>
      <c r="AK82" s="38">
        <f t="shared" si="6"/>
        <v>8.1221572449642634E-6</v>
      </c>
      <c r="AL82" s="38">
        <f t="shared" si="7"/>
        <v>5.1981806367771283E-6</v>
      </c>
      <c r="AM82" s="38">
        <f t="shared" si="8"/>
        <v>123.11999999999999</v>
      </c>
      <c r="AN82" s="38">
        <f t="shared" si="9"/>
        <v>6.0916179337231967E-6</v>
      </c>
      <c r="AO82" s="38">
        <f t="shared" si="10"/>
        <v>4.051423920915382E-6</v>
      </c>
      <c r="AP82" s="38">
        <f t="shared" si="11"/>
        <v>152.0117744372435</v>
      </c>
      <c r="AQ82" s="38">
        <f t="shared" si="12"/>
        <v>4.0610786224821317E-6</v>
      </c>
      <c r="AR82" s="38">
        <f t="shared" si="13"/>
        <v>3.188976656825633E-6</v>
      </c>
      <c r="AS82" s="38">
        <f t="shared" si="14"/>
        <v>163.56812110714446</v>
      </c>
      <c r="AT82" s="38">
        <f t="shared" si="15"/>
        <v>2.0305393112410659E-6</v>
      </c>
      <c r="AU82" s="38">
        <f t="shared" si="16"/>
        <v>2.5380154606777982E-6</v>
      </c>
      <c r="AV82" s="38">
        <f t="shared" si="17"/>
        <v>129.11682054084818</v>
      </c>
      <c r="AW82" s="42"/>
      <c r="AX82" s="38">
        <v>76</v>
      </c>
      <c r="AY82" s="38">
        <f t="shared" si="18"/>
        <v>1.9631915866483769</v>
      </c>
      <c r="AZ82" s="38">
        <f t="shared" si="19"/>
        <v>3.9506172839506175E-6</v>
      </c>
      <c r="BA82" s="38">
        <f t="shared" si="20"/>
        <v>2.2485640886999957E-7</v>
      </c>
      <c r="BB82" s="38">
        <f t="shared" si="21"/>
        <v>8.0479795347268978E-6</v>
      </c>
      <c r="BC82" s="38">
        <f t="shared" si="25"/>
        <v>4.0580727464668771E-6</v>
      </c>
      <c r="BD82" s="38">
        <f t="shared" si="26"/>
        <v>117.76151910746368</v>
      </c>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row>
    <row r="83" spans="1:194" ht="16.5" customHeight="1" x14ac:dyDescent="0.2">
      <c r="A83" s="1"/>
      <c r="E83" s="44"/>
      <c r="F83" s="44"/>
      <c r="G83" s="44"/>
      <c r="H83" s="44"/>
      <c r="I83" s="15"/>
      <c r="J83" s="15"/>
      <c r="K83" s="15"/>
      <c r="L83" s="15"/>
      <c r="M83" s="42"/>
      <c r="N83" s="42"/>
      <c r="O83" s="42"/>
      <c r="P83" s="42"/>
      <c r="U83" s="38" t="s">
        <v>191</v>
      </c>
      <c r="V83" s="38">
        <f>( Po.max * Load.con1/100 * 100/Eff.sim * 2*Lbst.sim*4/Vline.sim^2/Ton.max.sim ) + 0.5</f>
        <v>2.4252520876952328</v>
      </c>
      <c r="W83" s="38" t="s">
        <v>195</v>
      </c>
      <c r="Y83" s="38">
        <v>26</v>
      </c>
      <c r="Z83" s="38">
        <f t="shared" si="22"/>
        <v>1.9952623149688806E-2</v>
      </c>
      <c r="AA83" s="38">
        <f t="shared" si="0"/>
        <v>52.561667198530024</v>
      </c>
      <c r="AB83" s="38">
        <f t="shared" si="1"/>
        <v>-0.371453579077345</v>
      </c>
      <c r="AC83" s="38">
        <f t="shared" si="2"/>
        <v>9.3971320528001723</v>
      </c>
      <c r="AD83" s="38">
        <f t="shared" si="3"/>
        <v>90.345052482509345</v>
      </c>
      <c r="AE83" s="38">
        <f t="shared" si="23"/>
        <v>61.958799251330198</v>
      </c>
      <c r="AF83" s="38">
        <f t="shared" si="24"/>
        <v>89.973598903432006</v>
      </c>
      <c r="AH83" s="38">
        <v>26</v>
      </c>
      <c r="AI83" s="38">
        <f t="shared" si="4"/>
        <v>2.5999999999999999E-3</v>
      </c>
      <c r="AJ83" s="38">
        <f t="shared" si="5"/>
        <v>92.782558749947398</v>
      </c>
      <c r="AK83" s="38">
        <f t="shared" si="6"/>
        <v>8.2659096144897175E-6</v>
      </c>
      <c r="AL83" s="38">
        <f t="shared" si="7"/>
        <v>5.1981806367771283E-6</v>
      </c>
      <c r="AM83" s="38">
        <f t="shared" si="8"/>
        <v>120.97882104191547</v>
      </c>
      <c r="AN83" s="38">
        <f t="shared" si="9"/>
        <v>6.1994322108672864E-6</v>
      </c>
      <c r="AO83" s="38">
        <f t="shared" si="10"/>
        <v>4.0488617820861686E-6</v>
      </c>
      <c r="AP83" s="38">
        <f t="shared" si="11"/>
        <v>149.55724039420286</v>
      </c>
      <c r="AQ83" s="38">
        <f t="shared" si="12"/>
        <v>4.1329548072448587E-6</v>
      </c>
      <c r="AR83" s="38">
        <f t="shared" si="13"/>
        <v>3.1802994232219247E-6</v>
      </c>
      <c r="AS83" s="38">
        <f t="shared" si="14"/>
        <v>161.60175229547519</v>
      </c>
      <c r="AT83" s="38">
        <f t="shared" si="15"/>
        <v>2.0664774036224294E-6</v>
      </c>
      <c r="AU83" s="38">
        <f t="shared" si="16"/>
        <v>2.5234846236355295E-6</v>
      </c>
      <c r="AV83" s="38">
        <f t="shared" si="17"/>
        <v>128.33666971622048</v>
      </c>
      <c r="AW83" s="42"/>
      <c r="AX83" s="38">
        <v>75</v>
      </c>
      <c r="AY83" s="38">
        <f t="shared" si="18"/>
        <v>1.9439390657714244</v>
      </c>
      <c r="AZ83" s="38">
        <f t="shared" si="19"/>
        <v>3.898635477582846E-6</v>
      </c>
      <c r="BA83" s="38">
        <f t="shared" si="20"/>
        <v>2.4808790381442918E-7</v>
      </c>
      <c r="BB83" s="38">
        <f t="shared" si="21"/>
        <v>7.9420850671647021E-6</v>
      </c>
      <c r="BC83" s="38">
        <f t="shared" si="25"/>
        <v>4.0168341016066782E-6</v>
      </c>
      <c r="BD83" s="38">
        <f t="shared" si="26"/>
        <v>118.61044515449045</v>
      </c>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row>
    <row r="84" spans="1:194" ht="16.5" customHeight="1" x14ac:dyDescent="0.2">
      <c r="A84" s="1"/>
      <c r="E84" s="44"/>
      <c r="F84" s="44"/>
      <c r="G84" s="44"/>
      <c r="H84" s="44"/>
      <c r="I84" s="15"/>
      <c r="J84" s="15"/>
      <c r="K84" s="15"/>
      <c r="L84" s="15"/>
      <c r="M84" s="42"/>
      <c r="N84" s="42"/>
      <c r="O84" s="42"/>
      <c r="P84" s="42"/>
      <c r="U84" s="38" t="s">
        <v>192</v>
      </c>
      <c r="V84" s="38">
        <f>( Po.max * Load.con2/100 * 100/Eff.sim * 2*Lbst.sim*4/Vline.sim^2/Ton.max.sim ) + 0.5</f>
        <v>1.9439390657714244</v>
      </c>
      <c r="W84" s="38" t="s">
        <v>195</v>
      </c>
      <c r="Y84" s="38">
        <v>27</v>
      </c>
      <c r="Z84" s="38">
        <f t="shared" si="22"/>
        <v>2.2387211385683406E-2</v>
      </c>
      <c r="AA84" s="38">
        <f t="shared" si="0"/>
        <v>52.561619936282646</v>
      </c>
      <c r="AB84" s="38">
        <f t="shared" si="1"/>
        <v>-0.41677625876829383</v>
      </c>
      <c r="AC84" s="38">
        <f t="shared" si="2"/>
        <v>8.397179076289726</v>
      </c>
      <c r="AD84" s="38">
        <f t="shared" si="3"/>
        <v>90.387153741748037</v>
      </c>
      <c r="AE84" s="38">
        <f t="shared" si="23"/>
        <v>60.958799012572371</v>
      </c>
      <c r="AF84" s="38">
        <f t="shared" si="24"/>
        <v>89.970377482979742</v>
      </c>
      <c r="AH84" s="38">
        <v>27</v>
      </c>
      <c r="AI84" s="38">
        <f t="shared" si="4"/>
        <v>2.7000000000000001E-3</v>
      </c>
      <c r="AJ84" s="38">
        <f t="shared" si="5"/>
        <v>95.473552316182648</v>
      </c>
      <c r="AK84" s="38">
        <f t="shared" si="6"/>
        <v>8.4098559092831307E-6</v>
      </c>
      <c r="AL84" s="38">
        <f t="shared" si="7"/>
        <v>5.1981806367771283E-6</v>
      </c>
      <c r="AM84" s="38">
        <f t="shared" si="8"/>
        <v>118.90810149269745</v>
      </c>
      <c r="AN84" s="38">
        <f t="shared" si="9"/>
        <v>6.3073919319623476E-6</v>
      </c>
      <c r="AO84" s="38">
        <f t="shared" si="10"/>
        <v>4.0463809775861026E-6</v>
      </c>
      <c r="AP84" s="38">
        <f t="shared" si="11"/>
        <v>147.1776628586039</v>
      </c>
      <c r="AQ84" s="38">
        <f t="shared" si="12"/>
        <v>4.2049279546415653E-6</v>
      </c>
      <c r="AR84" s="38">
        <f t="shared" si="13"/>
        <v>3.1718694790748836E-6</v>
      </c>
      <c r="AS84" s="38">
        <f t="shared" si="14"/>
        <v>159.68111915959432</v>
      </c>
      <c r="AT84" s="38">
        <f t="shared" si="15"/>
        <v>2.1024639773207827E-6</v>
      </c>
      <c r="AU84" s="38">
        <f t="shared" si="16"/>
        <v>2.5093239503641142E-6</v>
      </c>
      <c r="AV84" s="38">
        <f t="shared" si="17"/>
        <v>127.56769975759659</v>
      </c>
      <c r="AW84" s="42"/>
      <c r="AX84" s="38">
        <v>74</v>
      </c>
      <c r="AY84" s="38">
        <f t="shared" si="18"/>
        <v>1.9246865448944721</v>
      </c>
      <c r="AZ84" s="38">
        <f t="shared" si="19"/>
        <v>3.8466536712150745E-6</v>
      </c>
      <c r="BA84" s="38">
        <f t="shared" si="20"/>
        <v>2.7194727700059982E-7</v>
      </c>
      <c r="BB84" s="38">
        <f t="shared" si="21"/>
        <v>7.8361905996025063E-6</v>
      </c>
      <c r="BC84" s="38">
        <f t="shared" si="25"/>
        <v>3.9758113203614913E-6</v>
      </c>
      <c r="BD84" s="38">
        <f t="shared" si="26"/>
        <v>119.45646288051029</v>
      </c>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row>
    <row r="85" spans="1:194" ht="16.5" customHeight="1" x14ac:dyDescent="0.2">
      <c r="A85" s="1"/>
      <c r="E85" s="44"/>
      <c r="F85" s="44"/>
      <c r="G85" s="44"/>
      <c r="H85" s="44"/>
      <c r="I85" s="15"/>
      <c r="J85" s="15"/>
      <c r="K85" s="15"/>
      <c r="L85" s="15"/>
      <c r="M85" s="42"/>
      <c r="N85" s="42"/>
      <c r="O85" s="42"/>
      <c r="P85" s="42"/>
      <c r="U85" s="38" t="s">
        <v>193</v>
      </c>
      <c r="V85" s="38">
        <f>( Po.max * Load.con3/100 * 100/Eff.sim * 2*Lbst.sim*4/Vline.sim^2/Ton.max.sim ) + 0.5</f>
        <v>1.4626260438476164</v>
      </c>
      <c r="W85" s="38" t="s">
        <v>195</v>
      </c>
      <c r="Y85" s="38">
        <v>28</v>
      </c>
      <c r="Z85" s="38">
        <f t="shared" si="22"/>
        <v>2.5118864315095798E-2</v>
      </c>
      <c r="AA85" s="38">
        <f t="shared" si="0"/>
        <v>52.561560437369728</v>
      </c>
      <c r="AB85" s="38">
        <f t="shared" si="1"/>
        <v>-0.46762851810707823</v>
      </c>
      <c r="AC85" s="38">
        <f t="shared" si="2"/>
        <v>7.397238274624371</v>
      </c>
      <c r="AD85" s="38">
        <f t="shared" si="3"/>
        <v>90.43439150811426</v>
      </c>
      <c r="AE85" s="38">
        <f t="shared" si="23"/>
        <v>59.958798711994099</v>
      </c>
      <c r="AF85" s="38">
        <f t="shared" si="24"/>
        <v>89.966762990007183</v>
      </c>
      <c r="AH85" s="38">
        <v>28</v>
      </c>
      <c r="AI85" s="38">
        <f t="shared" si="4"/>
        <v>2.8000000000000004E-3</v>
      </c>
      <c r="AJ85" s="38">
        <f t="shared" si="5"/>
        <v>98.070325012943499</v>
      </c>
      <c r="AK85" s="38">
        <f t="shared" si="6"/>
        <v>8.553596651246675E-6</v>
      </c>
      <c r="AL85" s="38">
        <f t="shared" si="7"/>
        <v>5.1981806367771283E-6</v>
      </c>
      <c r="AM85" s="38">
        <f t="shared" si="8"/>
        <v>116.90988490253996</v>
      </c>
      <c r="AN85" s="38">
        <f t="shared" si="9"/>
        <v>6.415197488435005E-6</v>
      </c>
      <c r="AO85" s="38">
        <f t="shared" si="10"/>
        <v>4.043984248905935E-6</v>
      </c>
      <c r="AP85" s="38">
        <f t="shared" si="11"/>
        <v>144.87595771583443</v>
      </c>
      <c r="AQ85" s="38">
        <f t="shared" si="12"/>
        <v>4.2767983256233375E-6</v>
      </c>
      <c r="AR85" s="38">
        <f t="shared" si="13"/>
        <v>3.1636985538595373E-6</v>
      </c>
      <c r="AS85" s="38">
        <f t="shared" si="14"/>
        <v>157.80973103078185</v>
      </c>
      <c r="AT85" s="38">
        <f t="shared" si="15"/>
        <v>2.1383991628116688E-6</v>
      </c>
      <c r="AU85" s="38">
        <f t="shared" si="16"/>
        <v>2.4955560933065164E-6</v>
      </c>
      <c r="AV85" s="38">
        <f t="shared" si="17"/>
        <v>126.81169392488943</v>
      </c>
      <c r="AW85" s="42"/>
      <c r="AX85" s="38">
        <v>73</v>
      </c>
      <c r="AY85" s="38">
        <f t="shared" si="18"/>
        <v>1.9054340240175198</v>
      </c>
      <c r="AZ85" s="38">
        <f t="shared" si="19"/>
        <v>3.7946718648473034E-6</v>
      </c>
      <c r="BA85" s="38">
        <f t="shared" si="20"/>
        <v>2.9646033164392586E-7</v>
      </c>
      <c r="BB85" s="38">
        <f t="shared" si="21"/>
        <v>7.7302961320403106E-6</v>
      </c>
      <c r="BC85" s="38">
        <f t="shared" si="25"/>
        <v>3.9350091800026684E-6</v>
      </c>
      <c r="BD85" s="38">
        <f t="shared" si="26"/>
        <v>120.29866938103999</v>
      </c>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row>
    <row r="86" spans="1:194" ht="16.5" customHeight="1" x14ac:dyDescent="0.2">
      <c r="A86" s="1"/>
      <c r="E86" s="44"/>
      <c r="F86" s="44"/>
      <c r="G86" s="44"/>
      <c r="H86" s="44"/>
      <c r="I86" s="15"/>
      <c r="J86" s="15"/>
      <c r="K86" s="15"/>
      <c r="L86" s="15"/>
      <c r="M86" s="42"/>
      <c r="N86" s="42"/>
      <c r="O86" s="42"/>
      <c r="P86" s="42"/>
      <c r="Q86" s="42"/>
      <c r="R86" s="42"/>
      <c r="S86" s="42"/>
      <c r="T86" s="42"/>
      <c r="U86" s="38" t="s">
        <v>194</v>
      </c>
      <c r="V86" s="38">
        <f>( Po.max * Load.con4/100 * 100/Eff.sim * 2*Lbst.sim*4/Vline.sim^2/Ton.max.sim ) + 0.5</f>
        <v>0.9813130219238082</v>
      </c>
      <c r="W86" s="38" t="s">
        <v>195</v>
      </c>
      <c r="X86" s="42"/>
      <c r="Y86" s="38">
        <v>29</v>
      </c>
      <c r="Z86" s="38">
        <f t="shared" si="22"/>
        <v>2.818382931264455E-2</v>
      </c>
      <c r="AA86" s="38">
        <f t="shared" si="0"/>
        <v>52.561485533835331</v>
      </c>
      <c r="AB86" s="38">
        <f t="shared" si="1"/>
        <v>-0.52468481059130345</v>
      </c>
      <c r="AC86" s="38">
        <f t="shared" si="2"/>
        <v>6.3973127997531707</v>
      </c>
      <c r="AD86" s="38">
        <f t="shared" si="3"/>
        <v>90.48739227309666</v>
      </c>
      <c r="AE86" s="38">
        <f t="shared" si="23"/>
        <v>58.958798333588504</v>
      </c>
      <c r="AF86" s="38">
        <f t="shared" si="24"/>
        <v>89.96270746250535</v>
      </c>
      <c r="AH86" s="38">
        <v>29</v>
      </c>
      <c r="AI86" s="38">
        <f t="shared" si="4"/>
        <v>2.8999999999999998E-3</v>
      </c>
      <c r="AJ86" s="38">
        <f t="shared" si="5"/>
        <v>100.57031413909039</v>
      </c>
      <c r="AK86" s="38">
        <f t="shared" si="6"/>
        <v>8.6967000680434383E-6</v>
      </c>
      <c r="AL86" s="38">
        <f t="shared" si="7"/>
        <v>5.1981806367771283E-6</v>
      </c>
      <c r="AM86" s="38">
        <f t="shared" si="8"/>
        <v>114.98614326996992</v>
      </c>
      <c r="AN86" s="38">
        <f t="shared" si="9"/>
        <v>6.522525051032577E-6</v>
      </c>
      <c r="AO86" s="38">
        <f t="shared" si="10"/>
        <v>4.0416742542138214E-6</v>
      </c>
      <c r="AP86" s="38">
        <f t="shared" si="11"/>
        <v>142.65496435827313</v>
      </c>
      <c r="AQ86" s="38">
        <f t="shared" si="12"/>
        <v>4.3483500340217192E-6</v>
      </c>
      <c r="AR86" s="38">
        <f t="shared" si="13"/>
        <v>3.1557981838740586E-6</v>
      </c>
      <c r="AS86" s="38">
        <f t="shared" si="14"/>
        <v>155.9910934925237</v>
      </c>
      <c r="AT86" s="38">
        <f t="shared" si="15"/>
        <v>2.1741750170108596E-6</v>
      </c>
      <c r="AU86" s="38">
        <f t="shared" si="16"/>
        <v>2.4822036440652497E-6</v>
      </c>
      <c r="AV86" s="38">
        <f t="shared" si="17"/>
        <v>126.07048770271361</v>
      </c>
      <c r="AW86" s="42"/>
      <c r="AX86" s="38">
        <v>72</v>
      </c>
      <c r="AY86" s="38">
        <f t="shared" si="18"/>
        <v>1.8861815031405673</v>
      </c>
      <c r="AZ86" s="38">
        <f t="shared" si="19"/>
        <v>3.7426900584795319E-6</v>
      </c>
      <c r="BA86" s="38">
        <f t="shared" si="20"/>
        <v>3.2165430447178901E-7</v>
      </c>
      <c r="BB86" s="38">
        <f t="shared" si="21"/>
        <v>7.6244016644781132E-6</v>
      </c>
      <c r="BC86" s="38">
        <f t="shared" si="25"/>
        <v>3.8944325265416877E-6</v>
      </c>
      <c r="BD86" s="38">
        <f t="shared" si="26"/>
        <v>121.13610130915268</v>
      </c>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row>
    <row r="87" spans="1:194" ht="16.5" customHeight="1" x14ac:dyDescent="0.2">
      <c r="A87" s="1"/>
      <c r="E87" s="44"/>
      <c r="F87" s="44"/>
      <c r="G87" s="44"/>
      <c r="H87" s="44"/>
      <c r="I87" s="15"/>
      <c r="J87" s="15"/>
      <c r="K87" s="15"/>
      <c r="L87" s="15"/>
      <c r="M87" s="42"/>
      <c r="N87" s="42"/>
      <c r="O87" s="42"/>
      <c r="P87" s="42"/>
      <c r="Q87" s="42"/>
      <c r="R87" s="42"/>
      <c r="S87" s="42"/>
      <c r="T87" s="42"/>
      <c r="U87" s="38" t="s">
        <v>204</v>
      </c>
      <c r="V87" s="38">
        <f>Ton.max.sim*(Vctrl.con1-0.5)/4</f>
        <v>5.1981806367771283E-6</v>
      </c>
      <c r="W87" s="38" t="s">
        <v>180</v>
      </c>
      <c r="X87" s="42"/>
      <c r="Y87" s="38">
        <v>30</v>
      </c>
      <c r="Z87" s="38">
        <f t="shared" si="22"/>
        <v>3.1622776601683805E-2</v>
      </c>
      <c r="AA87" s="38">
        <f t="shared" si="0"/>
        <v>52.56139123770933</v>
      </c>
      <c r="AB87" s="38">
        <f t="shared" si="1"/>
        <v>-0.58870177937988144</v>
      </c>
      <c r="AC87" s="38">
        <f t="shared" si="2"/>
        <v>5.3974066194947987</v>
      </c>
      <c r="AD87" s="38">
        <f t="shared" si="3"/>
        <v>90.54685886563307</v>
      </c>
      <c r="AE87" s="38">
        <f t="shared" si="23"/>
        <v>57.958797857204132</v>
      </c>
      <c r="AF87" s="38">
        <f t="shared" si="24"/>
        <v>89.958157086253195</v>
      </c>
      <c r="AH87" s="38">
        <v>30</v>
      </c>
      <c r="AI87" s="38">
        <f t="shared" si="4"/>
        <v>3.0000000000000001E-3</v>
      </c>
      <c r="AJ87" s="38">
        <f t="shared" si="5"/>
        <v>102.97105250718317</v>
      </c>
      <c r="AK87" s="38">
        <f t="shared" si="6"/>
        <v>8.8387027272828167E-6</v>
      </c>
      <c r="AL87" s="38">
        <f t="shared" si="7"/>
        <v>5.1981806367771283E-6</v>
      </c>
      <c r="AM87" s="38">
        <f t="shared" si="8"/>
        <v>113.13877509572254</v>
      </c>
      <c r="AN87" s="38">
        <f t="shared" si="9"/>
        <v>6.6290270454621117E-6</v>
      </c>
      <c r="AO87" s="38">
        <f t="shared" si="10"/>
        <v>4.0394535644513302E-6</v>
      </c>
      <c r="AP87" s="38">
        <f t="shared" si="11"/>
        <v>140.51744033955828</v>
      </c>
      <c r="AQ87" s="38">
        <f t="shared" si="12"/>
        <v>4.4193513636414083E-6</v>
      </c>
      <c r="AR87" s="38">
        <f t="shared" si="13"/>
        <v>3.1481796834104111E-6</v>
      </c>
      <c r="AS87" s="38">
        <f t="shared" si="14"/>
        <v>154.22869625633814</v>
      </c>
      <c r="AT87" s="38">
        <f t="shared" si="15"/>
        <v>2.2096756818207042E-6</v>
      </c>
      <c r="AU87" s="38">
        <f t="shared" si="16"/>
        <v>2.4692890672754518E-6</v>
      </c>
      <c r="AV87" s="38">
        <f t="shared" si="17"/>
        <v>125.34596215788045</v>
      </c>
      <c r="AW87" s="42"/>
      <c r="AX87" s="38">
        <v>71</v>
      </c>
      <c r="AY87" s="38">
        <f t="shared" si="18"/>
        <v>1.8669289822636153</v>
      </c>
      <c r="AZ87" s="38">
        <f t="shared" si="19"/>
        <v>3.6907082521117613E-6</v>
      </c>
      <c r="BA87" s="38">
        <f t="shared" si="20"/>
        <v>3.4755796667508431E-7</v>
      </c>
      <c r="BB87" s="38">
        <f t="shared" si="21"/>
        <v>7.5185071969159183E-6</v>
      </c>
      <c r="BC87" s="38">
        <f t="shared" si="25"/>
        <v>3.8540862718822288E-6</v>
      </c>
      <c r="BD87" s="38">
        <f t="shared" si="26"/>
        <v>121.96773200614535</v>
      </c>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row>
    <row r="88" spans="1:194" ht="16.5" customHeight="1" x14ac:dyDescent="0.2">
      <c r="A88" s="1"/>
      <c r="E88" s="44"/>
      <c r="F88" s="44"/>
      <c r="G88" s="44"/>
      <c r="H88" s="44"/>
      <c r="I88" s="15"/>
      <c r="J88" s="15"/>
      <c r="K88" s="15"/>
      <c r="L88" s="15"/>
      <c r="M88" s="42"/>
      <c r="N88" s="42"/>
      <c r="O88" s="42"/>
      <c r="P88" s="42"/>
      <c r="Q88" s="42"/>
      <c r="R88" s="42"/>
      <c r="S88" s="42"/>
      <c r="T88" s="42"/>
      <c r="U88" s="38" t="s">
        <v>205</v>
      </c>
      <c r="V88" s="38">
        <f>Ton.max.sim*(Vctrl.con2-0.5)/4</f>
        <v>3.898635477582846E-6</v>
      </c>
      <c r="W88" s="38" t="s">
        <v>180</v>
      </c>
      <c r="X88" s="42"/>
      <c r="Y88" s="38">
        <v>31</v>
      </c>
      <c r="Z88" s="38">
        <f t="shared" si="22"/>
        <v>3.5481338923357558E-2</v>
      </c>
      <c r="AA88" s="38">
        <f t="shared" si="0"/>
        <v>52.561272528831225</v>
      </c>
      <c r="AB88" s="38">
        <f t="shared" si="1"/>
        <v>-0.66052824218813877</v>
      </c>
      <c r="AC88" s="38">
        <f t="shared" si="2"/>
        <v>4.397524728640585</v>
      </c>
      <c r="AD88" s="38">
        <f t="shared" si="3"/>
        <v>90.613579722943555</v>
      </c>
      <c r="AE88" s="38">
        <f t="shared" si="23"/>
        <v>56.958797257471808</v>
      </c>
      <c r="AF88" s="38">
        <f t="shared" si="24"/>
        <v>89.95305148075542</v>
      </c>
      <c r="AH88" s="38">
        <v>31</v>
      </c>
      <c r="AI88" s="38">
        <f t="shared" si="4"/>
        <v>3.0999999999999999E-3</v>
      </c>
      <c r="AJ88" s="38">
        <f t="shared" si="5"/>
        <v>105.27017087829721</v>
      </c>
      <c r="AK88" s="38">
        <f t="shared" si="6"/>
        <v>8.9791107132552427E-6</v>
      </c>
      <c r="AL88" s="38">
        <f t="shared" si="7"/>
        <v>5.1981806367771283E-6</v>
      </c>
      <c r="AM88" s="38">
        <f t="shared" si="8"/>
        <v>111.36960350915028</v>
      </c>
      <c r="AN88" s="38">
        <f t="shared" si="9"/>
        <v>6.7343330349414316E-6</v>
      </c>
      <c r="AO88" s="38">
        <f t="shared" si="10"/>
        <v>4.0373246595119993E-6</v>
      </c>
      <c r="AP88" s="38">
        <f t="shared" si="11"/>
        <v>138.46605609293167</v>
      </c>
      <c r="AQ88" s="38">
        <f t="shared" si="12"/>
        <v>4.4895553566276214E-6</v>
      </c>
      <c r="AR88" s="38">
        <f t="shared" si="13"/>
        <v>3.1408541152526517E-6</v>
      </c>
      <c r="AS88" s="38">
        <f t="shared" si="14"/>
        <v>152.52600041580621</v>
      </c>
      <c r="AT88" s="38">
        <f t="shared" si="15"/>
        <v>2.2447776783138107E-6</v>
      </c>
      <c r="AU88" s="38">
        <f t="shared" si="16"/>
        <v>2.456834629648868E-6</v>
      </c>
      <c r="AV88" s="38">
        <f t="shared" si="17"/>
        <v>124.64003623691549</v>
      </c>
      <c r="AW88" s="42"/>
      <c r="AX88" s="38">
        <v>70</v>
      </c>
      <c r="AY88" s="38">
        <f t="shared" si="18"/>
        <v>1.847676461386663</v>
      </c>
      <c r="AZ88" s="38">
        <f t="shared" si="19"/>
        <v>3.6387264457439898E-6</v>
      </c>
      <c r="BA88" s="38">
        <f t="shared" si="20"/>
        <v>3.742017335127598E-7</v>
      </c>
      <c r="BB88" s="38">
        <f t="shared" si="21"/>
        <v>7.4126127293537225E-6</v>
      </c>
      <c r="BC88" s="38">
        <f t="shared" si="25"/>
        <v>3.8139753906152683E-6</v>
      </c>
      <c r="BD88" s="38">
        <f t="shared" si="26"/>
        <v>122.7924685718958</v>
      </c>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row>
    <row r="89" spans="1:194" ht="16.5" customHeight="1" x14ac:dyDescent="0.2">
      <c r="A89" s="1"/>
      <c r="E89" s="44"/>
      <c r="F89" s="44"/>
      <c r="G89" s="44"/>
      <c r="H89" s="44"/>
      <c r="I89" s="15"/>
      <c r="J89" s="15"/>
      <c r="K89" s="15"/>
      <c r="L89" s="15"/>
      <c r="M89" s="42"/>
      <c r="N89" s="42"/>
      <c r="O89" s="42"/>
      <c r="P89" s="42"/>
      <c r="Q89" s="42"/>
      <c r="R89" s="42"/>
      <c r="S89" s="42"/>
      <c r="T89" s="42"/>
      <c r="U89" s="38" t="s">
        <v>206</v>
      </c>
      <c r="V89" s="38">
        <f>Ton.max.sim*(Vctrl.con3-0.5)/4</f>
        <v>2.5990903183885641E-6</v>
      </c>
      <c r="W89" s="38" t="s">
        <v>180</v>
      </c>
      <c r="X89" s="42"/>
      <c r="Y89" s="38">
        <v>32</v>
      </c>
      <c r="Z89" s="38">
        <f t="shared" si="22"/>
        <v>3.9810717055349755E-2</v>
      </c>
      <c r="AA89" s="38">
        <f t="shared" si="0"/>
        <v>52.561123087821571</v>
      </c>
      <c r="AB89" s="38">
        <f t="shared" si="1"/>
        <v>-0.74111637648316064</v>
      </c>
      <c r="AC89" s="38">
        <f t="shared" si="2"/>
        <v>3.3976734146320955</v>
      </c>
      <c r="AD89" s="38">
        <f t="shared" si="3"/>
        <v>90.68843927454121</v>
      </c>
      <c r="AE89" s="38">
        <f t="shared" si="23"/>
        <v>55.958796502453666</v>
      </c>
      <c r="AF89" s="38">
        <f t="shared" si="24"/>
        <v>89.947322898058047</v>
      </c>
      <c r="AH89" s="38">
        <v>32</v>
      </c>
      <c r="AI89" s="38">
        <f t="shared" si="4"/>
        <v>3.2000000000000002E-3</v>
      </c>
      <c r="AJ89" s="38">
        <f t="shared" si="5"/>
        <v>107.4654003001761</v>
      </c>
      <c r="AK89" s="38">
        <f t="shared" si="6"/>
        <v>9.1174014024041041E-6</v>
      </c>
      <c r="AL89" s="38">
        <f t="shared" si="7"/>
        <v>5.1981806367771283E-6</v>
      </c>
      <c r="AM89" s="38">
        <f t="shared" si="8"/>
        <v>109.6803744690145</v>
      </c>
      <c r="AN89" s="38">
        <f t="shared" si="9"/>
        <v>6.8380510518030772E-6</v>
      </c>
      <c r="AO89" s="38">
        <f t="shared" si="10"/>
        <v>4.0352899245125367E-6</v>
      </c>
      <c r="AP89" s="38">
        <f t="shared" si="11"/>
        <v>136.50338973203304</v>
      </c>
      <c r="AQ89" s="38">
        <f t="shared" si="12"/>
        <v>4.5587007012020521E-6</v>
      </c>
      <c r="AR89" s="38">
        <f t="shared" si="13"/>
        <v>3.1338322606346709E-6</v>
      </c>
      <c r="AS89" s="38">
        <f t="shared" si="14"/>
        <v>150.88642514235539</v>
      </c>
      <c r="AT89" s="38">
        <f t="shared" si="15"/>
        <v>2.279350350601026E-6</v>
      </c>
      <c r="AU89" s="38">
        <f t="shared" si="16"/>
        <v>2.4448623243764081E-6</v>
      </c>
      <c r="AV89" s="38">
        <f t="shared" si="17"/>
        <v>123.95465799260536</v>
      </c>
      <c r="AW89" s="42"/>
      <c r="AX89" s="38">
        <v>69</v>
      </c>
      <c r="AY89" s="38">
        <f t="shared" si="18"/>
        <v>1.8284239405097107</v>
      </c>
      <c r="AZ89" s="38">
        <f t="shared" si="19"/>
        <v>3.5867446393762187E-6</v>
      </c>
      <c r="BA89" s="38">
        <f t="shared" si="20"/>
        <v>4.0161778344717947E-7</v>
      </c>
      <c r="BB89" s="38">
        <f t="shared" si="21"/>
        <v>7.3067182617915268E-6</v>
      </c>
      <c r="BC89" s="38">
        <f t="shared" si="25"/>
        <v>3.7741049164410234E-6</v>
      </c>
      <c r="BD89" s="38">
        <f t="shared" si="26"/>
        <v>123.60914888205869</v>
      </c>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row>
    <row r="90" spans="1:194" ht="16.5" customHeight="1" x14ac:dyDescent="0.2">
      <c r="A90" s="1"/>
      <c r="E90" s="44"/>
      <c r="F90" s="44"/>
      <c r="G90" s="44"/>
      <c r="H90" s="44"/>
      <c r="I90" s="15"/>
      <c r="J90" s="15"/>
      <c r="K90" s="15"/>
      <c r="L90" s="15"/>
      <c r="M90" s="42"/>
      <c r="N90" s="42"/>
      <c r="O90" s="42"/>
      <c r="P90" s="42"/>
      <c r="Q90" s="42"/>
      <c r="R90" s="42"/>
      <c r="S90" s="42"/>
      <c r="T90" s="42"/>
      <c r="U90" s="38" t="s">
        <v>207</v>
      </c>
      <c r="V90" s="38">
        <f>Ton.max.sim*(Vctrl.con4-0.5)/4</f>
        <v>1.2995451591942821E-6</v>
      </c>
      <c r="W90" s="38" t="s">
        <v>180</v>
      </c>
      <c r="X90" s="42"/>
      <c r="Y90" s="38">
        <v>33</v>
      </c>
      <c r="Z90" s="38">
        <f t="shared" si="22"/>
        <v>4.4668359215096327E-2</v>
      </c>
      <c r="AA90" s="38">
        <f t="shared" ref="AA90:AA121" si="27">20*LOG10(G_o/SQRT(1+(Z90/f_p)^2))</f>
        <v>52.560934960048513</v>
      </c>
      <c r="AB90" s="38">
        <f t="shared" ref="AB90:AB121" si="28">180/PI()*-(ATAN(Z90/f_p))</f>
        <v>-0.83153424400445375</v>
      </c>
      <c r="AC90" s="38">
        <f t="shared" ref="AC90:AC121" si="29">-20*LOG10(Z90/f_o)+20*LOG10(SQRT(1+(Z90/f_z)^2))-20*LOG10(SQRT(1+(Z90/f_p2)^2))</f>
        <v>2.3978605918938274</v>
      </c>
      <c r="AD90" s="38">
        <f t="shared" ref="AD90:AD121" si="30">-90+(180/PI())*ATAN(Z90/f_z)-(180/PI())*ATAN(Z90/f_p2)+180</f>
        <v>90.772429567818392</v>
      </c>
      <c r="AE90" s="38">
        <f t="shared" si="23"/>
        <v>54.958795551942337</v>
      </c>
      <c r="AF90" s="38">
        <f t="shared" si="24"/>
        <v>89.940895323813933</v>
      </c>
      <c r="AH90" s="38">
        <v>33</v>
      </c>
      <c r="AI90" s="38">
        <f t="shared" ref="AI90:AI121" si="31">AH90/100/fline.sim/2</f>
        <v>3.3E-3</v>
      </c>
      <c r="AJ90" s="38">
        <f t="shared" ref="AJ90:AJ121" si="32">Vline.sim*2^0.5*SIN(2*PI()*fline.sim*AI90)</f>
        <v>109.55457434641373</v>
      </c>
      <c r="AK90" s="38">
        <f t="shared" ref="AK90:AK121" si="33">ton.con1*Vout.sim/(Vout.sim-$AJ90)</f>
        <v>9.253025886365694E-6</v>
      </c>
      <c r="AL90" s="38">
        <f t="shared" ref="AL90:AL121" si="34">ton.con1/2*(1+(1+4*tdt.con1/AK90)^0.5)</f>
        <v>5.1981806367771283E-6</v>
      </c>
      <c r="AM90" s="38">
        <f t="shared" ref="AM90:AM121" si="35">1/(AK90*AL90/ton.con1+tdt.con1)/1000</f>
        <v>108.07275504043461</v>
      </c>
      <c r="AN90" s="38">
        <f t="shared" ref="AN90:AN121" si="36">ton.con2*Vout.sim/(Vout.sim-$AJ90)</f>
        <v>6.9397694147742697E-6</v>
      </c>
      <c r="AO90" s="38">
        <f t="shared" ref="AO90:AO121" si="37">ton.con2/2*(1+(1+4*tdt.con2/AN90)^0.5)</f>
        <v>4.0333516461667515E-6</v>
      </c>
      <c r="AP90" s="38">
        <f t="shared" ref="AP90:AP121" si="38">1/(AN90*AO90/ton.con2+tdt.con2)/1000</f>
        <v>134.63192195273564</v>
      </c>
      <c r="AQ90" s="38">
        <f t="shared" ref="AQ90:AQ121" si="39">ton.con3*Vout.sim/(Vout.sim-$AJ90)</f>
        <v>4.626512943182847E-6</v>
      </c>
      <c r="AR90" s="38">
        <f t="shared" ref="AR90:AR121" si="40">ton.con3/2*(1+(1+4*tdt.con3/AQ90)^0.5)</f>
        <v>3.127124588804627E-6</v>
      </c>
      <c r="AS90" s="38">
        <f t="shared" ref="AS90:AS121" si="41">1/(AQ90*AR90/ton.con3+tdt.con3)/1000</f>
        <v>149.31333389780951</v>
      </c>
      <c r="AT90" s="38">
        <f t="shared" ref="AT90:AT121" si="42">ton.con4*Vout.sim/(Vout.sim-$AJ90)</f>
        <v>2.3132564715914235E-6</v>
      </c>
      <c r="AU90" s="38">
        <f t="shared" ref="AU90:AU121" si="43">ton.con4/2*(1+(1+4*tdt.con4/AT90)^0.5)</f>
        <v>2.4333937911699096E-6</v>
      </c>
      <c r="AV90" s="38">
        <f t="shared" ref="AV90:AV121" si="44">1/(AT90*AU90/ton.con4+tdt.con4)/1000</f>
        <v>123.29179474788694</v>
      </c>
      <c r="AW90" s="42"/>
      <c r="AX90" s="38">
        <v>68</v>
      </c>
      <c r="AY90" s="38">
        <f t="shared" ref="AY90:AY121" si="45">IF( ( Po.max * AX90/100 * 100/Eff.sim * 2*Lbst.sim*4/Vline.sim^2/Ton.max.sim ) + 0.5 &gt;0.7, ( Po.max * AX90/100 * 100/Eff.sim * 2*Lbst.sim*4/Vline.sim^2/Ton.max.sim ) + 0.5,"")</f>
        <v>1.8091714196327584</v>
      </c>
      <c r="AZ90" s="38">
        <f t="shared" ref="AZ90:AZ121" si="46">Ton.max.sim*(AY90-0.5)/4</f>
        <v>3.5347628330084477E-6</v>
      </c>
      <c r="BA90" s="38">
        <f t="shared" ref="BA90:BA121" si="47">MAX( C_dt*R_dt*(VCTRL.FF-AY90)/(AY90-0.5), 0 )</f>
        <v>4.2984018779143506E-7</v>
      </c>
      <c r="BB90" s="38">
        <f t="shared" ref="BB90:BB121" si="48">AZ90*Vout.sim/(Vout.sim-Vline.sim*2^0.5)</f>
        <v>7.2008237942293311E-6</v>
      </c>
      <c r="BC90" s="38">
        <f t="shared" si="25"/>
        <v>3.7344799382021574E-6</v>
      </c>
      <c r="BD90" s="38">
        <f t="shared" si="26"/>
        <v>124.41653856037121</v>
      </c>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row>
    <row r="91" spans="1:194" ht="16.5" customHeight="1" x14ac:dyDescent="0.2">
      <c r="A91" s="1"/>
      <c r="E91" s="44"/>
      <c r="F91" s="44"/>
      <c r="G91" s="44"/>
      <c r="H91" s="44"/>
      <c r="I91" s="15"/>
      <c r="J91" s="15"/>
      <c r="K91" s="15"/>
      <c r="L91" s="15"/>
      <c r="M91" s="42"/>
      <c r="N91" s="42"/>
      <c r="O91" s="42"/>
      <c r="P91" s="42"/>
      <c r="Q91" s="42"/>
      <c r="R91" s="42"/>
      <c r="S91" s="42"/>
      <c r="T91" s="42"/>
      <c r="U91" s="38" t="s">
        <v>199</v>
      </c>
      <c r="V91" s="38">
        <f>MAX( C_dt*R_dt*(VCTRL.FF-Vctrl.con1)/(Vctrl.con1-0.5), 0 )</f>
        <v>0</v>
      </c>
      <c r="W91" s="38" t="s">
        <v>180</v>
      </c>
      <c r="X91" s="42"/>
      <c r="Y91" s="38">
        <v>34</v>
      </c>
      <c r="Z91" s="38">
        <f t="shared" si="22"/>
        <v>5.0118723362727241E-2</v>
      </c>
      <c r="AA91" s="38">
        <f t="shared" si="27"/>
        <v>52.560698132801349</v>
      </c>
      <c r="AB91" s="38">
        <f t="shared" si="28"/>
        <v>-0.93297980753894594</v>
      </c>
      <c r="AC91" s="38">
        <f t="shared" si="29"/>
        <v>1.3980962225184139</v>
      </c>
      <c r="AD91" s="38">
        <f t="shared" si="30"/>
        <v>90.86666327621343</v>
      </c>
      <c r="AE91" s="38">
        <f t="shared" si="23"/>
        <v>53.95879435531976</v>
      </c>
      <c r="AF91" s="38">
        <f t="shared" si="24"/>
        <v>89.933683468674488</v>
      </c>
      <c r="AH91" s="38">
        <v>34</v>
      </c>
      <c r="AI91" s="38">
        <f t="shared" si="31"/>
        <v>3.4000000000000002E-3</v>
      </c>
      <c r="AJ91" s="38">
        <f t="shared" si="32"/>
        <v>111.53563125445552</v>
      </c>
      <c r="AK91" s="38">
        <f t="shared" si="33"/>
        <v>9.385412080868632E-6</v>
      </c>
      <c r="AL91" s="38">
        <f t="shared" si="34"/>
        <v>5.1981806367771283E-6</v>
      </c>
      <c r="AM91" s="38">
        <f t="shared" si="35"/>
        <v>106.54833174969646</v>
      </c>
      <c r="AN91" s="38">
        <f t="shared" si="36"/>
        <v>7.0390590606514727E-6</v>
      </c>
      <c r="AO91" s="38">
        <f t="shared" si="37"/>
        <v>4.0315120092722933E-6</v>
      </c>
      <c r="AP91" s="38">
        <f t="shared" si="38"/>
        <v>132.85403105472369</v>
      </c>
      <c r="AQ91" s="38">
        <f t="shared" si="39"/>
        <v>4.692706040434316E-6</v>
      </c>
      <c r="AR91" s="38">
        <f t="shared" si="40"/>
        <v>3.1207412263582042E-6</v>
      </c>
      <c r="AS91" s="38">
        <f t="shared" si="41"/>
        <v>147.81002025004406</v>
      </c>
      <c r="AT91" s="38">
        <f t="shared" si="42"/>
        <v>2.346353020217158E-6</v>
      </c>
      <c r="AU91" s="38">
        <f t="shared" si="43"/>
        <v>2.4224502323236479E-6</v>
      </c>
      <c r="AV91" s="38">
        <f t="shared" si="44"/>
        <v>122.65342222728637</v>
      </c>
      <c r="AW91" s="42"/>
      <c r="AX91" s="38">
        <v>67</v>
      </c>
      <c r="AY91" s="38">
        <f t="shared" si="45"/>
        <v>1.7899188987558059</v>
      </c>
      <c r="AZ91" s="38">
        <f t="shared" si="46"/>
        <v>3.4827810266406757E-6</v>
      </c>
      <c r="BA91" s="38">
        <f t="shared" si="47"/>
        <v>4.5890505196686272E-7</v>
      </c>
      <c r="BB91" s="38">
        <f t="shared" si="48"/>
        <v>7.0949293266671336E-6</v>
      </c>
      <c r="BC91" s="38">
        <f t="shared" si="25"/>
        <v>3.6951055955136129E-6</v>
      </c>
      <c r="BD91" s="38">
        <f t="shared" si="26"/>
        <v>125.21332791552344</v>
      </c>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row>
    <row r="92" spans="1:194" ht="16.5" customHeight="1" x14ac:dyDescent="0.2">
      <c r="A92" s="1"/>
      <c r="E92" s="44"/>
      <c r="F92" s="44"/>
      <c r="G92" s="44"/>
      <c r="H92" s="44"/>
      <c r="I92" s="15"/>
      <c r="J92" s="15"/>
      <c r="K92" s="15"/>
      <c r="L92" s="15"/>
      <c r="M92" s="42"/>
      <c r="N92" s="42"/>
      <c r="O92" s="42"/>
      <c r="P92" s="42"/>
      <c r="Q92" s="42"/>
      <c r="R92" s="42"/>
      <c r="S92" s="42"/>
      <c r="T92" s="42"/>
      <c r="U92" s="38" t="s">
        <v>200</v>
      </c>
      <c r="V92" s="38">
        <f>MAX( C_dt*R_dt*(VCTRL.FF-Vctrl.con2)/(Vctrl.con2-0.5), 0 )</f>
        <v>2.4808790381442918E-7</v>
      </c>
      <c r="W92" s="38" t="s">
        <v>180</v>
      </c>
      <c r="X92" s="42"/>
      <c r="Y92" s="38">
        <v>35</v>
      </c>
      <c r="Z92" s="38">
        <f t="shared" si="22"/>
        <v>5.6234132519034918E-2</v>
      </c>
      <c r="AA92" s="38">
        <f t="shared" si="27"/>
        <v>52.560400003323821</v>
      </c>
      <c r="AB92" s="38">
        <f t="shared" si="28"/>
        <v>-1.0467966072229935</v>
      </c>
      <c r="AC92" s="38">
        <f t="shared" si="29"/>
        <v>0.39839284553783699</v>
      </c>
      <c r="AD92" s="38">
        <f t="shared" si="30"/>
        <v>90.972388243853928</v>
      </c>
      <c r="AE92" s="38">
        <f t="shared" si="23"/>
        <v>52.958792848861656</v>
      </c>
      <c r="AF92" s="38">
        <f t="shared" si="24"/>
        <v>89.925591636630941</v>
      </c>
      <c r="AH92" s="38">
        <v>35</v>
      </c>
      <c r="AI92" s="38">
        <f t="shared" si="31"/>
        <v>3.4999999999999996E-3</v>
      </c>
      <c r="AJ92" s="38">
        <f t="shared" si="32"/>
        <v>113.40661596030908</v>
      </c>
      <c r="AK92" s="38">
        <f t="shared" si="33"/>
        <v>9.513968544894267E-6</v>
      </c>
      <c r="AL92" s="38">
        <f t="shared" si="34"/>
        <v>5.1981806367771283E-6</v>
      </c>
      <c r="AM92" s="38">
        <f t="shared" si="35"/>
        <v>105.10860901854217</v>
      </c>
      <c r="AN92" s="38">
        <f t="shared" si="36"/>
        <v>7.135476408670699E-6</v>
      </c>
      <c r="AO92" s="38">
        <f t="shared" si="37"/>
        <v>4.0297730933201374E-6</v>
      </c>
      <c r="AP92" s="38">
        <f t="shared" si="38"/>
        <v>131.1719881015124</v>
      </c>
      <c r="AQ92" s="38">
        <f t="shared" si="39"/>
        <v>4.7569842724471335E-6</v>
      </c>
      <c r="AR92" s="38">
        <f t="shared" si="40"/>
        <v>3.1146919265168359E-6</v>
      </c>
      <c r="AS92" s="38">
        <f t="shared" si="41"/>
        <v>146.37969338902062</v>
      </c>
      <c r="AT92" s="38">
        <f t="shared" si="42"/>
        <v>2.3784921362235668E-6</v>
      </c>
      <c r="AU92" s="38">
        <f t="shared" si="43"/>
        <v>2.4120523252812602E-6</v>
      </c>
      <c r="AV92" s="38">
        <f t="shared" si="44"/>
        <v>122.0415127102863</v>
      </c>
      <c r="AW92" s="42"/>
      <c r="AX92" s="38">
        <v>66</v>
      </c>
      <c r="AY92" s="38">
        <f t="shared" si="45"/>
        <v>1.7706663778788536</v>
      </c>
      <c r="AZ92" s="38">
        <f t="shared" si="46"/>
        <v>3.4307992202729047E-6</v>
      </c>
      <c r="BA92" s="38">
        <f t="shared" si="47"/>
        <v>4.8885066960215157E-7</v>
      </c>
      <c r="BB92" s="38">
        <f t="shared" si="48"/>
        <v>6.9890348591049379E-6</v>
      </c>
      <c r="BC92" s="38">
        <f t="shared" si="25"/>
        <v>3.6559870739755306E-6</v>
      </c>
      <c r="BD92" s="38">
        <f t="shared" si="26"/>
        <v>125.99812885329412</v>
      </c>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row>
    <row r="93" spans="1:194" ht="16.5" customHeight="1" x14ac:dyDescent="0.2">
      <c r="A93" s="1"/>
      <c r="E93" s="44"/>
      <c r="F93" s="44"/>
      <c r="G93" s="44"/>
      <c r="H93" s="44"/>
      <c r="I93" s="15"/>
      <c r="J93" s="15"/>
      <c r="K93" s="15"/>
      <c r="L93" s="15"/>
      <c r="M93" s="42"/>
      <c r="N93" s="42"/>
      <c r="O93" s="42"/>
      <c r="P93" s="42"/>
      <c r="Q93" s="42"/>
      <c r="R93" s="42"/>
      <c r="S93" s="42"/>
      <c r="T93" s="42"/>
      <c r="U93" s="38" t="s">
        <v>201</v>
      </c>
      <c r="V93" s="38">
        <f>MAX( C_dt*R_dt*(VCTRL.FF-Vctrl.con3)/(Vctrl.con3-0.5), 0 )</f>
        <v>1.1308847117027451E-6</v>
      </c>
      <c r="W93" s="38" t="s">
        <v>180</v>
      </c>
      <c r="X93" s="42"/>
      <c r="Y93" s="38">
        <v>36</v>
      </c>
      <c r="Z93" s="38">
        <f t="shared" si="22"/>
        <v>6.3095734448019372E-2</v>
      </c>
      <c r="AA93" s="38">
        <f t="shared" si="27"/>
        <v>52.56002470964652</v>
      </c>
      <c r="AB93" s="38">
        <f t="shared" si="28"/>
        <v>-1.1744912779668748</v>
      </c>
      <c r="AC93" s="38">
        <f t="shared" si="29"/>
        <v>-0.60123375730250572</v>
      </c>
      <c r="AD93" s="38">
        <f t="shared" si="30"/>
        <v>91.091003733265097</v>
      </c>
      <c r="AE93" s="38">
        <f t="shared" si="23"/>
        <v>51.958790952344017</v>
      </c>
      <c r="AF93" s="38">
        <f t="shared" si="24"/>
        <v>89.916512455298218</v>
      </c>
      <c r="AH93" s="38">
        <v>36</v>
      </c>
      <c r="AI93" s="38">
        <f t="shared" si="31"/>
        <v>3.5999999999999999E-3</v>
      </c>
      <c r="AJ93" s="38">
        <f t="shared" si="32"/>
        <v>115.16568202795652</v>
      </c>
      <c r="AK93" s="38">
        <f t="shared" si="33"/>
        <v>9.6380890172465547E-6</v>
      </c>
      <c r="AL93" s="38">
        <f t="shared" si="34"/>
        <v>5.1981806367771283E-6</v>
      </c>
      <c r="AM93" s="38">
        <f t="shared" si="35"/>
        <v>103.75500767948746</v>
      </c>
      <c r="AN93" s="38">
        <f t="shared" si="36"/>
        <v>7.2285667629349152E-6</v>
      </c>
      <c r="AO93" s="38">
        <f t="shared" si="37"/>
        <v>4.028136869236646E-6</v>
      </c>
      <c r="AP93" s="38">
        <f t="shared" si="38"/>
        <v>129.58795223749942</v>
      </c>
      <c r="AQ93" s="38">
        <f t="shared" si="39"/>
        <v>4.8190445086232774E-6</v>
      </c>
      <c r="AR93" s="38">
        <f t="shared" si="40"/>
        <v>3.108986038539752E-6</v>
      </c>
      <c r="AS93" s="38">
        <f t="shared" si="41"/>
        <v>145.0254634507813</v>
      </c>
      <c r="AT93" s="38">
        <f t="shared" si="42"/>
        <v>2.4095222543116387E-6</v>
      </c>
      <c r="AU93" s="38">
        <f t="shared" si="43"/>
        <v>2.4022201323018222E-6</v>
      </c>
      <c r="AV93" s="38">
        <f t="shared" si="44"/>
        <v>121.4580222869802</v>
      </c>
      <c r="AW93" s="42"/>
      <c r="AX93" s="38">
        <v>65</v>
      </c>
      <c r="AY93" s="38">
        <f t="shared" si="45"/>
        <v>1.7514138570019011</v>
      </c>
      <c r="AZ93" s="38">
        <f t="shared" si="46"/>
        <v>3.3788174139051332E-6</v>
      </c>
      <c r="BA93" s="38">
        <f t="shared" si="47"/>
        <v>5.1971769085698811E-7</v>
      </c>
      <c r="BB93" s="38">
        <f t="shared" si="48"/>
        <v>6.8831403915427422E-6</v>
      </c>
      <c r="BC93" s="38">
        <f t="shared" si="25"/>
        <v>3.6171295999570295E-6</v>
      </c>
      <c r="BD93" s="38">
        <f t="shared" si="26"/>
        <v>126.7694717759527</v>
      </c>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row>
    <row r="94" spans="1:194" ht="16.5" customHeight="1" x14ac:dyDescent="0.2">
      <c r="A94" s="1"/>
      <c r="E94" s="44"/>
      <c r="F94" s="44"/>
      <c r="G94" s="44"/>
      <c r="H94" s="44"/>
      <c r="I94" s="15"/>
      <c r="J94" s="15"/>
      <c r="K94" s="15"/>
      <c r="L94" s="15"/>
      <c r="M94" s="42"/>
      <c r="N94" s="42"/>
      <c r="O94" s="42"/>
      <c r="P94" s="42"/>
      <c r="Q94" s="42"/>
      <c r="R94" s="42"/>
      <c r="S94" s="42"/>
      <c r="T94" s="42"/>
      <c r="U94" s="38" t="s">
        <v>202</v>
      </c>
      <c r="V94" s="38">
        <f>MAX( C_dt*R_dt*(VCTRL.FF-Vctrl.con4)/(Vctrl.con4-0.5), 0 )</f>
        <v>3.7792751353676941E-6</v>
      </c>
      <c r="W94" s="38" t="s">
        <v>180</v>
      </c>
      <c r="X94" s="42"/>
      <c r="Y94" s="38">
        <v>37</v>
      </c>
      <c r="Z94" s="38">
        <f t="shared" si="22"/>
        <v>7.0794578438413872E-2</v>
      </c>
      <c r="AA94" s="38">
        <f t="shared" si="27"/>
        <v>52.559552289008309</v>
      </c>
      <c r="AB94" s="38">
        <f t="shared" si="28"/>
        <v>-1.3177531031734657</v>
      </c>
      <c r="AC94" s="38">
        <f t="shared" si="29"/>
        <v>-1.6007637242373798</v>
      </c>
      <c r="AD94" s="38">
        <f t="shared" si="30"/>
        <v>91.22407855447986</v>
      </c>
      <c r="AE94" s="38">
        <f t="shared" si="23"/>
        <v>50.958788564770927</v>
      </c>
      <c r="AF94" s="38">
        <f t="shared" si="24"/>
        <v>89.906325451306401</v>
      </c>
      <c r="AH94" s="38">
        <v>37</v>
      </c>
      <c r="AI94" s="38">
        <f t="shared" si="31"/>
        <v>3.7000000000000002E-3</v>
      </c>
      <c r="AJ94" s="38">
        <f t="shared" si="32"/>
        <v>116.81109347156365</v>
      </c>
      <c r="AK94" s="38">
        <f t="shared" si="33"/>
        <v>9.7571576572469579E-6</v>
      </c>
      <c r="AL94" s="38">
        <f t="shared" si="34"/>
        <v>5.1981806367771283E-6</v>
      </c>
      <c r="AM94" s="38">
        <f t="shared" si="35"/>
        <v>102.48886357363176</v>
      </c>
      <c r="AN94" s="38">
        <f t="shared" si="36"/>
        <v>7.317868242935218E-6</v>
      </c>
      <c r="AO94" s="38">
        <f t="shared" si="37"/>
        <v>4.0266051962678186E-6</v>
      </c>
      <c r="AP94" s="38">
        <f t="shared" si="38"/>
        <v>128.10396618041048</v>
      </c>
      <c r="AQ94" s="38">
        <f t="shared" si="39"/>
        <v>4.878578828623479E-6</v>
      </c>
      <c r="AR94" s="38">
        <f t="shared" si="40"/>
        <v>3.1036324774699502E-6</v>
      </c>
      <c r="AS94" s="38">
        <f t="shared" si="41"/>
        <v>143.75032676637241</v>
      </c>
      <c r="AT94" s="38">
        <f t="shared" si="42"/>
        <v>2.4392894143117395E-6</v>
      </c>
      <c r="AU94" s="38">
        <f t="shared" si="43"/>
        <v>2.3929730079271938E-6</v>
      </c>
      <c r="AV94" s="38">
        <f t="shared" si="44"/>
        <v>120.90487732354373</v>
      </c>
      <c r="AW94" s="42"/>
      <c r="AX94" s="38">
        <v>64</v>
      </c>
      <c r="AY94" s="38">
        <f t="shared" si="45"/>
        <v>1.7321613361249488</v>
      </c>
      <c r="AZ94" s="38">
        <f t="shared" si="46"/>
        <v>3.3268356075373617E-6</v>
      </c>
      <c r="BA94" s="38">
        <f t="shared" si="47"/>
        <v>5.5154930652603791E-7</v>
      </c>
      <c r="BB94" s="38">
        <f t="shared" si="48"/>
        <v>6.7772459239805456E-6</v>
      </c>
      <c r="BC94" s="38">
        <f t="shared" si="25"/>
        <v>3.578538434940276E-6</v>
      </c>
      <c r="BD94" s="38">
        <f t="shared" si="26"/>
        <v>127.52580248227443</v>
      </c>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row>
    <row r="95" spans="1:194" ht="16.5" customHeight="1" x14ac:dyDescent="0.2">
      <c r="A95" s="1"/>
      <c r="E95" s="44"/>
      <c r="F95" s="44"/>
      <c r="G95" s="44"/>
      <c r="H95" s="44"/>
      <c r="I95" s="15"/>
      <c r="J95" s="15"/>
      <c r="K95" s="15"/>
      <c r="L95" s="15"/>
      <c r="M95" s="42"/>
      <c r="N95" s="42"/>
      <c r="O95" s="42"/>
      <c r="P95" s="42"/>
      <c r="Q95" s="42"/>
      <c r="R95" s="42"/>
      <c r="S95" s="42"/>
      <c r="T95" s="42"/>
      <c r="U95" s="42"/>
      <c r="V95" s="42"/>
      <c r="W95" s="42"/>
      <c r="X95" s="42"/>
      <c r="Y95" s="38">
        <v>38</v>
      </c>
      <c r="Z95" s="38">
        <f t="shared" si="22"/>
        <v>7.9432823472428193E-2</v>
      </c>
      <c r="AA95" s="38">
        <f t="shared" si="27"/>
        <v>52.558957619723536</v>
      </c>
      <c r="AB95" s="38">
        <f t="shared" si="28"/>
        <v>-1.478475811645767</v>
      </c>
      <c r="AC95" s="38">
        <f t="shared" si="29"/>
        <v>-2.6001720607271608</v>
      </c>
      <c r="AD95" s="38">
        <f t="shared" si="30"/>
        <v>91.373371263560941</v>
      </c>
      <c r="AE95" s="38">
        <f t="shared" si="23"/>
        <v>49.958785558996375</v>
      </c>
      <c r="AF95" s="38">
        <f t="shared" si="24"/>
        <v>89.894895451915175</v>
      </c>
      <c r="AH95" s="38">
        <v>38</v>
      </c>
      <c r="AI95" s="38">
        <f t="shared" si="31"/>
        <v>3.8E-3</v>
      </c>
      <c r="AJ95" s="38">
        <f t="shared" si="32"/>
        <v>118.34122646868857</v>
      </c>
      <c r="AK95" s="38">
        <f t="shared" si="33"/>
        <v>9.8705549530675292E-6</v>
      </c>
      <c r="AL95" s="38">
        <f t="shared" si="34"/>
        <v>5.1981806367771283E-6</v>
      </c>
      <c r="AM95" s="38">
        <f t="shared" si="35"/>
        <v>101.31142623234413</v>
      </c>
      <c r="AN95" s="38">
        <f t="shared" si="36"/>
        <v>7.4029162148006457E-6</v>
      </c>
      <c r="AO95" s="38">
        <f t="shared" si="37"/>
        <v>4.0251798190150973E-6</v>
      </c>
      <c r="AP95" s="38">
        <f t="shared" si="38"/>
        <v>126.72195190715367</v>
      </c>
      <c r="AQ95" s="38">
        <f t="shared" si="39"/>
        <v>4.9352774765337646E-6</v>
      </c>
      <c r="AR95" s="38">
        <f t="shared" si="40"/>
        <v>3.0986396944234356E-6</v>
      </c>
      <c r="AS95" s="38">
        <f t="shared" si="41"/>
        <v>142.55715116088734</v>
      </c>
      <c r="AT95" s="38">
        <f t="shared" si="42"/>
        <v>2.4676387382668823E-6</v>
      </c>
      <c r="AU95" s="38">
        <f t="shared" si="43"/>
        <v>2.3843295050581924E-6</v>
      </c>
      <c r="AV95" s="38">
        <f t="shared" si="44"/>
        <v>120.38396027264476</v>
      </c>
      <c r="AW95" s="42"/>
      <c r="AX95" s="38">
        <v>63</v>
      </c>
      <c r="AY95" s="38">
        <f t="shared" si="45"/>
        <v>1.7129088152479965</v>
      </c>
      <c r="AZ95" s="38">
        <f t="shared" si="46"/>
        <v>3.2748538011695906E-6</v>
      </c>
      <c r="BA95" s="38">
        <f t="shared" si="47"/>
        <v>5.8439144967664483E-7</v>
      </c>
      <c r="BB95" s="38">
        <f t="shared" si="48"/>
        <v>6.6713514564183499E-6</v>
      </c>
      <c r="BC95" s="38">
        <f t="shared" si="25"/>
        <v>3.5402188694160915E-6</v>
      </c>
      <c r="BD95" s="38">
        <f t="shared" si="26"/>
        <v>128.2654790828976</v>
      </c>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row>
    <row r="96" spans="1:194" ht="16.5" customHeight="1" x14ac:dyDescent="0.2">
      <c r="A96" s="1"/>
      <c r="E96" s="44"/>
      <c r="F96" s="44"/>
      <c r="G96" s="44"/>
      <c r="H96" s="44"/>
      <c r="I96" s="15"/>
      <c r="J96" s="15"/>
      <c r="K96" s="15"/>
      <c r="L96" s="15"/>
      <c r="M96" s="42"/>
      <c r="N96" s="42"/>
      <c r="O96" s="42"/>
      <c r="P96" s="42"/>
      <c r="Q96" s="42"/>
      <c r="R96" s="42"/>
      <c r="S96" s="42"/>
      <c r="T96" s="42"/>
      <c r="U96" s="42"/>
      <c r="V96" s="42"/>
      <c r="W96" s="42"/>
      <c r="X96" s="42"/>
      <c r="Y96" s="38">
        <v>39</v>
      </c>
      <c r="Z96" s="38">
        <f t="shared" si="22"/>
        <v>8.9125093813374565E-2</v>
      </c>
      <c r="AA96" s="38">
        <f t="shared" si="27"/>
        <v>52.558209091212085</v>
      </c>
      <c r="AB96" s="38">
        <f t="shared" si="28"/>
        <v>-1.6587818327971386</v>
      </c>
      <c r="AC96" s="38">
        <f t="shared" si="29"/>
        <v>-3.5994273162587147</v>
      </c>
      <c r="AD96" s="38">
        <f t="shared" si="30"/>
        <v>91.540852624465813</v>
      </c>
      <c r="AE96" s="38">
        <f t="shared" si="23"/>
        <v>48.958781774953373</v>
      </c>
      <c r="AF96" s="38">
        <f t="shared" si="24"/>
        <v>89.882070791668681</v>
      </c>
      <c r="AH96" s="38">
        <v>39</v>
      </c>
      <c r="AI96" s="38">
        <f t="shared" si="31"/>
        <v>3.9000000000000003E-3</v>
      </c>
      <c r="AJ96" s="38">
        <f t="shared" si="32"/>
        <v>119.75457096279831</v>
      </c>
      <c r="AK96" s="38">
        <f t="shared" si="33"/>
        <v>9.9776642359026374E-6</v>
      </c>
      <c r="AL96" s="38">
        <f t="shared" si="34"/>
        <v>5.1981806367771283E-6</v>
      </c>
      <c r="AM96" s="38">
        <f t="shared" si="35"/>
        <v>100.2238576441267</v>
      </c>
      <c r="AN96" s="38">
        <f t="shared" si="36"/>
        <v>7.4832481769269768E-6</v>
      </c>
      <c r="AO96" s="38">
        <f t="shared" si="37"/>
        <v>4.0238623646317951E-6</v>
      </c>
      <c r="AP96" s="38">
        <f t="shared" si="38"/>
        <v>125.4437065506358</v>
      </c>
      <c r="AQ96" s="38">
        <f t="shared" si="39"/>
        <v>4.9888321179513187E-6</v>
      </c>
      <c r="AR96" s="38">
        <f t="shared" si="40"/>
        <v>3.0940156476381568E-6</v>
      </c>
      <c r="AS96" s="38">
        <f t="shared" si="41"/>
        <v>141.44866143459609</v>
      </c>
      <c r="AT96" s="38">
        <f t="shared" si="42"/>
        <v>2.4944160589756594E-6</v>
      </c>
      <c r="AU96" s="38">
        <f t="shared" si="43"/>
        <v>2.3763072805462636E-6</v>
      </c>
      <c r="AV96" s="38">
        <f t="shared" si="44"/>
        <v>119.89709499100995</v>
      </c>
      <c r="AW96" s="42"/>
      <c r="AX96" s="38">
        <v>62</v>
      </c>
      <c r="AY96" s="38">
        <f t="shared" si="45"/>
        <v>1.693656294371044</v>
      </c>
      <c r="AZ96" s="38">
        <f t="shared" si="46"/>
        <v>3.2228719948018187E-6</v>
      </c>
      <c r="BA96" s="38">
        <f t="shared" si="47"/>
        <v>6.1829301679985241E-7</v>
      </c>
      <c r="BB96" s="38">
        <f t="shared" si="48"/>
        <v>6.5654569888561524E-6</v>
      </c>
      <c r="BC96" s="38">
        <f t="shared" si="25"/>
        <v>3.5021762163245197E-6</v>
      </c>
      <c r="BD96" s="38">
        <f t="shared" si="26"/>
        <v>128.98676894715885</v>
      </c>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row>
    <row r="97" spans="1:194" ht="16.5" customHeight="1" x14ac:dyDescent="0.2">
      <c r="A97" s="1"/>
      <c r="E97" s="44"/>
      <c r="F97" s="44"/>
      <c r="G97" s="44"/>
      <c r="H97" s="44"/>
      <c r="I97" s="15"/>
      <c r="J97" s="15"/>
      <c r="K97" s="15"/>
      <c r="L97" s="15"/>
      <c r="M97" s="42"/>
      <c r="N97" s="42"/>
      <c r="O97" s="42"/>
      <c r="P97" s="42"/>
      <c r="Q97" s="42"/>
      <c r="R97" s="42"/>
      <c r="S97" s="42"/>
      <c r="T97" s="42"/>
      <c r="U97" s="42"/>
      <c r="V97" s="42"/>
      <c r="W97" s="42"/>
      <c r="X97" s="42"/>
      <c r="Y97" s="38">
        <v>40</v>
      </c>
      <c r="Z97" s="38">
        <f t="shared" si="22"/>
        <v>0.1</v>
      </c>
      <c r="AA97" s="38">
        <f t="shared" si="27"/>
        <v>52.557266933054819</v>
      </c>
      <c r="AB97" s="38">
        <f t="shared" si="28"/>
        <v>-1.8610492275724071</v>
      </c>
      <c r="AC97" s="38">
        <f t="shared" si="29"/>
        <v>-4.5984899219246715</v>
      </c>
      <c r="AD97" s="38">
        <f t="shared" si="30"/>
        <v>91.728730527904091</v>
      </c>
      <c r="AE97" s="38">
        <f t="shared" si="23"/>
        <v>47.958777011130145</v>
      </c>
      <c r="AF97" s="38">
        <f t="shared" si="24"/>
        <v>89.867681300331682</v>
      </c>
      <c r="AH97" s="38">
        <v>40</v>
      </c>
      <c r="AI97" s="38">
        <f t="shared" si="31"/>
        <v>4.0000000000000001E-3</v>
      </c>
      <c r="AJ97" s="38">
        <f t="shared" si="32"/>
        <v>121.04973215351232</v>
      </c>
      <c r="AK97" s="38">
        <f t="shared" si="33"/>
        <v>1.0077878711670151E-5</v>
      </c>
      <c r="AL97" s="38">
        <f t="shared" si="34"/>
        <v>5.1981806367771283E-6</v>
      </c>
      <c r="AM97" s="38">
        <f t="shared" si="35"/>
        <v>99.227231107872257</v>
      </c>
      <c r="AN97" s="38">
        <f t="shared" si="36"/>
        <v>7.5584090337526112E-6</v>
      </c>
      <c r="AO97" s="38">
        <f t="shared" si="37"/>
        <v>4.0226543401888668E-6</v>
      </c>
      <c r="AP97" s="38">
        <f t="shared" si="38"/>
        <v>124.27089852450983</v>
      </c>
      <c r="AQ97" s="38">
        <f t="shared" si="39"/>
        <v>5.0389393558350753E-6</v>
      </c>
      <c r="AR97" s="38">
        <f t="shared" si="40"/>
        <v>3.0897677745035999E-6</v>
      </c>
      <c r="AS97" s="38">
        <f t="shared" si="41"/>
        <v>140.42742516320948</v>
      </c>
      <c r="AT97" s="38">
        <f t="shared" si="42"/>
        <v>2.5194696779175376E-6</v>
      </c>
      <c r="AU97" s="38">
        <f t="shared" si="43"/>
        <v>2.368923001296247E-6</v>
      </c>
      <c r="AV97" s="38">
        <f t="shared" si="44"/>
        <v>119.44603175194953</v>
      </c>
      <c r="AW97" s="42"/>
      <c r="AX97" s="38">
        <v>61</v>
      </c>
      <c r="AY97" s="38">
        <f t="shared" si="45"/>
        <v>1.674403773494092</v>
      </c>
      <c r="AZ97" s="38">
        <f t="shared" si="46"/>
        <v>3.1708901884340485E-6</v>
      </c>
      <c r="BA97" s="38">
        <f t="shared" si="47"/>
        <v>6.5330611071398397E-7</v>
      </c>
      <c r="BB97" s="38">
        <f t="shared" si="48"/>
        <v>6.4595625212939584E-6</v>
      </c>
      <c r="BC97" s="38">
        <f t="shared" si="25"/>
        <v>3.4644158040361933E-6</v>
      </c>
      <c r="BD97" s="38">
        <f t="shared" si="26"/>
        <v>129.68784569895948</v>
      </c>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row>
    <row r="98" spans="1:194" ht="16.5" customHeight="1" x14ac:dyDescent="0.2">
      <c r="A98" s="1"/>
      <c r="E98" s="44"/>
      <c r="F98" s="44"/>
      <c r="G98" s="44"/>
      <c r="H98" s="44"/>
      <c r="I98" s="15"/>
      <c r="J98" s="15"/>
      <c r="K98" s="15"/>
      <c r="L98" s="15"/>
      <c r="M98" s="42"/>
      <c r="N98" s="42"/>
      <c r="O98" s="42"/>
      <c r="P98" s="42"/>
      <c r="Q98" s="42"/>
      <c r="R98" s="42"/>
      <c r="S98" s="42"/>
      <c r="T98" s="42"/>
      <c r="U98" s="42"/>
      <c r="V98" s="42"/>
      <c r="W98" s="42"/>
      <c r="X98" s="42"/>
      <c r="Y98" s="38">
        <v>41</v>
      </c>
      <c r="Z98" s="38">
        <f t="shared" si="22"/>
        <v>0.11220184543019635</v>
      </c>
      <c r="AA98" s="38">
        <f t="shared" si="27"/>
        <v>52.556081116761305</v>
      </c>
      <c r="AB98" s="38">
        <f t="shared" si="28"/>
        <v>-2.087941505350829</v>
      </c>
      <c r="AC98" s="38">
        <f t="shared" si="29"/>
        <v>-5.5973101029218251</v>
      </c>
      <c r="AD98" s="38">
        <f t="shared" si="30"/>
        <v>91.939477550813109</v>
      </c>
      <c r="AE98" s="38">
        <f t="shared" si="23"/>
        <v>46.958771013839481</v>
      </c>
      <c r="AF98" s="38">
        <f t="shared" si="24"/>
        <v>89.851536045462282</v>
      </c>
      <c r="AH98" s="38">
        <v>41</v>
      </c>
      <c r="AI98" s="38">
        <f t="shared" si="31"/>
        <v>4.0999999999999995E-3</v>
      </c>
      <c r="AJ98" s="38">
        <f t="shared" si="32"/>
        <v>122.22543187310208</v>
      </c>
      <c r="AK98" s="38">
        <f t="shared" si="33"/>
        <v>1.0170608895376215E-5</v>
      </c>
      <c r="AL98" s="38">
        <f t="shared" si="34"/>
        <v>5.1981806367771283E-6</v>
      </c>
      <c r="AM98" s="38">
        <f t="shared" si="35"/>
        <v>98.322530173647934</v>
      </c>
      <c r="AN98" s="38">
        <f t="shared" si="36"/>
        <v>7.62795667153216E-6</v>
      </c>
      <c r="AO98" s="38">
        <f t="shared" si="37"/>
        <v>4.0215571302183082E-6</v>
      </c>
      <c r="AP98" s="38">
        <f t="shared" si="38"/>
        <v>123.20506389212433</v>
      </c>
      <c r="AQ98" s="38">
        <f t="shared" si="39"/>
        <v>5.0853044476881075E-6</v>
      </c>
      <c r="AR98" s="38">
        <f t="shared" si="40"/>
        <v>3.08590296479375E-6</v>
      </c>
      <c r="AS98" s="38">
        <f t="shared" si="41"/>
        <v>139.49583895749461</v>
      </c>
      <c r="AT98" s="38">
        <f t="shared" si="42"/>
        <v>2.5426522238440538E-6</v>
      </c>
      <c r="AU98" s="38">
        <f t="shared" si="43"/>
        <v>2.3621922519507584E-6</v>
      </c>
      <c r="AV98" s="38">
        <f t="shared" si="44"/>
        <v>119.03243216361116</v>
      </c>
      <c r="AW98" s="42"/>
      <c r="AX98" s="38">
        <v>60</v>
      </c>
      <c r="AY98" s="38">
        <f t="shared" si="45"/>
        <v>1.6551512526171395</v>
      </c>
      <c r="AZ98" s="38">
        <f t="shared" si="46"/>
        <v>3.1189083820662765E-6</v>
      </c>
      <c r="BA98" s="38">
        <f t="shared" si="47"/>
        <v>6.8948630775858747E-7</v>
      </c>
      <c r="BB98" s="38">
        <f t="shared" si="48"/>
        <v>6.3536680537317618E-6</v>
      </c>
      <c r="BC98" s="38">
        <f t="shared" si="25"/>
        <v>3.4269429688730569E-6</v>
      </c>
      <c r="BD98" s="38">
        <f t="shared" si="26"/>
        <v>130.36678628062543</v>
      </c>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row>
    <row r="99" spans="1:194" ht="16.5" customHeight="1" x14ac:dyDescent="0.2">
      <c r="A99" s="1"/>
      <c r="E99" s="44"/>
      <c r="F99" s="44"/>
      <c r="G99" s="44"/>
      <c r="H99" s="44"/>
      <c r="I99" s="15"/>
      <c r="J99" s="15"/>
      <c r="K99" s="15"/>
      <c r="L99" s="15"/>
      <c r="M99" s="42"/>
      <c r="N99" s="42"/>
      <c r="O99" s="42"/>
      <c r="P99" s="42"/>
      <c r="Q99" s="42"/>
      <c r="R99" s="42"/>
      <c r="S99" s="42"/>
      <c r="T99" s="42"/>
      <c r="U99" s="42"/>
      <c r="V99" s="42"/>
      <c r="W99" s="42"/>
      <c r="X99" s="42"/>
      <c r="Y99" s="38">
        <v>42</v>
      </c>
      <c r="Z99" s="38">
        <f t="shared" si="22"/>
        <v>0.12589254117941678</v>
      </c>
      <c r="AA99" s="38">
        <f t="shared" si="27"/>
        <v>52.554588722734636</v>
      </c>
      <c r="AB99" s="38">
        <f t="shared" si="28"/>
        <v>-2.3424405155075561</v>
      </c>
      <c r="AC99" s="38">
        <f t="shared" si="29"/>
        <v>-6.5958252590250241</v>
      </c>
      <c r="AD99" s="38">
        <f t="shared" si="30"/>
        <v>92.17586131524935</v>
      </c>
      <c r="AE99" s="38">
        <f t="shared" si="23"/>
        <v>45.958763463709609</v>
      </c>
      <c r="AF99" s="38">
        <f t="shared" si="24"/>
        <v>89.833420799741788</v>
      </c>
      <c r="AH99" s="38">
        <v>42</v>
      </c>
      <c r="AI99" s="38">
        <f t="shared" si="31"/>
        <v>4.1999999999999997E-3</v>
      </c>
      <c r="AJ99" s="38">
        <f t="shared" si="32"/>
        <v>123.28050984788834</v>
      </c>
      <c r="AK99" s="38">
        <f t="shared" si="33"/>
        <v>1.0255290308020754E-5</v>
      </c>
      <c r="AL99" s="38">
        <f t="shared" si="34"/>
        <v>5.1981806367771283E-6</v>
      </c>
      <c r="AM99" s="38">
        <f t="shared" si="35"/>
        <v>97.510647672049913</v>
      </c>
      <c r="AN99" s="38">
        <f t="shared" si="36"/>
        <v>7.691467731015565E-6</v>
      </c>
      <c r="AO99" s="38">
        <f t="shared" si="37"/>
        <v>4.0205719944420546E-6</v>
      </c>
      <c r="AP99" s="38">
        <f t="shared" si="38"/>
        <v>122.24760299513177</v>
      </c>
      <c r="AQ99" s="38">
        <f t="shared" si="39"/>
        <v>5.1276451540103769E-6</v>
      </c>
      <c r="AR99" s="38">
        <f t="shared" si="40"/>
        <v>3.0824275353248803E-6</v>
      </c>
      <c r="AS99" s="38">
        <f t="shared" si="41"/>
        <v>138.65611532350093</v>
      </c>
      <c r="AT99" s="38">
        <f t="shared" si="42"/>
        <v>2.5638225770051885E-6</v>
      </c>
      <c r="AU99" s="38">
        <f t="shared" si="43"/>
        <v>2.3561294452837914E-6</v>
      </c>
      <c r="AV99" s="38">
        <f t="shared" si="44"/>
        <v>118.65785422296342</v>
      </c>
      <c r="AW99" s="42"/>
      <c r="AX99" s="38">
        <v>59</v>
      </c>
      <c r="AY99" s="38">
        <f t="shared" si="45"/>
        <v>1.6358987317401874</v>
      </c>
      <c r="AZ99" s="38">
        <f t="shared" si="46"/>
        <v>3.0669265756985059E-6</v>
      </c>
      <c r="BA99" s="38">
        <f t="shared" si="47"/>
        <v>7.2689295216063422E-7</v>
      </c>
      <c r="BB99" s="38">
        <f t="shared" si="48"/>
        <v>6.2477735861695669E-6</v>
      </c>
      <c r="BC99" s="38">
        <f t="shared" si="25"/>
        <v>3.3897630471700199E-6</v>
      </c>
      <c r="BD99" s="38">
        <f t="shared" si="26"/>
        <v>131.02156810511002</v>
      </c>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row>
    <row r="100" spans="1:194" ht="16.5" customHeight="1" x14ac:dyDescent="0.2">
      <c r="A100" s="1"/>
      <c r="E100" s="44"/>
      <c r="F100" s="44"/>
      <c r="G100" s="44"/>
      <c r="H100" s="44"/>
      <c r="I100" s="15"/>
      <c r="J100" s="15"/>
      <c r="K100" s="15"/>
      <c r="L100" s="15"/>
      <c r="M100" s="42"/>
      <c r="N100" s="42"/>
      <c r="O100" s="42"/>
      <c r="P100" s="42"/>
      <c r="Q100" s="42"/>
      <c r="R100" s="42"/>
      <c r="S100" s="42"/>
      <c r="T100" s="42"/>
      <c r="U100" s="42"/>
      <c r="V100" s="42"/>
      <c r="W100" s="42"/>
      <c r="X100" s="42"/>
      <c r="Y100" s="38">
        <v>43</v>
      </c>
      <c r="Z100" s="38">
        <f t="shared" si="22"/>
        <v>0.14125375446227542</v>
      </c>
      <c r="AA100" s="38">
        <f t="shared" si="27"/>
        <v>52.552710638889657</v>
      </c>
      <c r="AB100" s="38">
        <f t="shared" si="28"/>
        <v>-2.6278825591227926</v>
      </c>
      <c r="AC100" s="38">
        <f t="shared" si="29"/>
        <v>-7.5939566802117211</v>
      </c>
      <c r="AD100" s="38">
        <f t="shared" si="30"/>
        <v>92.440977758684625</v>
      </c>
      <c r="AE100" s="38">
        <f t="shared" si="23"/>
        <v>44.958753958677939</v>
      </c>
      <c r="AF100" s="38">
        <f t="shared" si="24"/>
        <v>89.813095199561829</v>
      </c>
      <c r="AH100" s="38">
        <v>43</v>
      </c>
      <c r="AI100" s="38">
        <f t="shared" si="31"/>
        <v>4.3E-3</v>
      </c>
      <c r="AJ100" s="38">
        <f t="shared" si="32"/>
        <v>124.21392484329107</v>
      </c>
      <c r="AK100" s="38">
        <f t="shared" si="33"/>
        <v>1.0331391273439933E-5</v>
      </c>
      <c r="AL100" s="38">
        <f t="shared" si="34"/>
        <v>5.1981806367771283E-6</v>
      </c>
      <c r="AM100" s="38">
        <f t="shared" si="35"/>
        <v>96.79238483308751</v>
      </c>
      <c r="AN100" s="38">
        <f t="shared" si="36"/>
        <v>7.7485434550799483E-6</v>
      </c>
      <c r="AO100" s="38">
        <f t="shared" si="37"/>
        <v>4.0197000656937068E-6</v>
      </c>
      <c r="AP100" s="38">
        <f t="shared" si="38"/>
        <v>121.39977735628815</v>
      </c>
      <c r="AQ100" s="38">
        <f t="shared" si="39"/>
        <v>5.1656956367199664E-6</v>
      </c>
      <c r="AR100" s="38">
        <f t="shared" si="40"/>
        <v>3.0793472062552151E-6</v>
      </c>
      <c r="AS100" s="38">
        <f t="shared" si="41"/>
        <v>137.91027026343576</v>
      </c>
      <c r="AT100" s="38">
        <f t="shared" si="42"/>
        <v>2.5828478183599832E-6</v>
      </c>
      <c r="AU100" s="38">
        <f t="shared" si="43"/>
        <v>2.3507477364668407E-6</v>
      </c>
      <c r="AV100" s="38">
        <f t="shared" si="44"/>
        <v>118.32373774990906</v>
      </c>
      <c r="AW100" s="42"/>
      <c r="AX100" s="38">
        <v>58</v>
      </c>
      <c r="AY100" s="38">
        <f t="shared" si="45"/>
        <v>1.6166462108632349</v>
      </c>
      <c r="AZ100" s="38">
        <f t="shared" si="46"/>
        <v>3.0149447693307344E-6</v>
      </c>
      <c r="BA100" s="38">
        <f t="shared" si="47"/>
        <v>7.6558948085240767E-7</v>
      </c>
      <c r="BB100" s="38">
        <f t="shared" si="48"/>
        <v>6.1418791186073695E-6</v>
      </c>
      <c r="BC100" s="38">
        <f t="shared" si="25"/>
        <v>3.3528813668823911E-6</v>
      </c>
      <c r="BD100" s="38">
        <f t="shared" si="26"/>
        <v>131.65006631822936</v>
      </c>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row>
    <row r="101" spans="1:194" ht="16.5" customHeight="1" x14ac:dyDescent="0.2">
      <c r="A101" s="1"/>
      <c r="E101" s="44"/>
      <c r="F101" s="44"/>
      <c r="G101" s="44"/>
      <c r="H101" s="44"/>
      <c r="I101" s="15"/>
      <c r="J101" s="15"/>
      <c r="K101" s="15"/>
      <c r="L101" s="15"/>
      <c r="M101" s="42"/>
      <c r="N101" s="42"/>
      <c r="O101" s="42"/>
      <c r="P101" s="42"/>
      <c r="Q101" s="42"/>
      <c r="R101" s="42"/>
      <c r="S101" s="42"/>
      <c r="T101" s="42"/>
      <c r="U101" s="42"/>
      <c r="V101" s="42"/>
      <c r="W101" s="42"/>
      <c r="X101" s="42"/>
      <c r="Y101" s="38">
        <v>44</v>
      </c>
      <c r="Z101" s="38">
        <f t="shared" si="22"/>
        <v>0.15848931924611154</v>
      </c>
      <c r="AA101" s="38">
        <f t="shared" si="27"/>
        <v>52.550347425655076</v>
      </c>
      <c r="AB101" s="38">
        <f t="shared" si="28"/>
        <v>-2.9479977915030244</v>
      </c>
      <c r="AC101" s="38">
        <f t="shared" si="29"/>
        <v>-8.5916054330734948</v>
      </c>
      <c r="AD101" s="38">
        <f t="shared" si="30"/>
        <v>92.738287348818915</v>
      </c>
      <c r="AE101" s="38">
        <f t="shared" si="23"/>
        <v>43.958741992581579</v>
      </c>
      <c r="AF101" s="38">
        <f t="shared" si="24"/>
        <v>89.790289557315887</v>
      </c>
      <c r="AH101" s="38">
        <v>44</v>
      </c>
      <c r="AI101" s="38">
        <f t="shared" si="31"/>
        <v>4.4000000000000003E-3</v>
      </c>
      <c r="AJ101" s="38">
        <f t="shared" si="32"/>
        <v>125.02475569140233</v>
      </c>
      <c r="AK101" s="38">
        <f t="shared" si="33"/>
        <v>1.0398420634292611E-5</v>
      </c>
      <c r="AL101" s="38">
        <f t="shared" si="34"/>
        <v>5.1981806367771283E-6</v>
      </c>
      <c r="AM101" s="38">
        <f t="shared" si="35"/>
        <v>96.168450495465891</v>
      </c>
      <c r="AN101" s="38">
        <f t="shared" si="36"/>
        <v>7.7988154757194563E-6</v>
      </c>
      <c r="AO101" s="38">
        <f t="shared" si="37"/>
        <v>4.0189423480399034E-6</v>
      </c>
      <c r="AP101" s="38">
        <f t="shared" si="38"/>
        <v>120.66270686994613</v>
      </c>
      <c r="AQ101" s="38">
        <f t="shared" si="39"/>
        <v>5.1992103171463056E-6</v>
      </c>
      <c r="AR101" s="38">
        <f t="shared" si="40"/>
        <v>3.0766670792358062E-6</v>
      </c>
      <c r="AS101" s="38">
        <f t="shared" si="41"/>
        <v>137.26011175363087</v>
      </c>
      <c r="AT101" s="38">
        <f t="shared" si="42"/>
        <v>2.5996051585731528E-6</v>
      </c>
      <c r="AU101" s="38">
        <f t="shared" si="43"/>
        <v>2.3460589423819951E-6</v>
      </c>
      <c r="AV101" s="38">
        <f t="shared" si="44"/>
        <v>118.03139045449687</v>
      </c>
      <c r="AW101" s="42"/>
      <c r="AX101" s="38">
        <v>57</v>
      </c>
      <c r="AY101" s="38">
        <f t="shared" si="45"/>
        <v>1.5973936899862826</v>
      </c>
      <c r="AZ101" s="38">
        <f t="shared" si="46"/>
        <v>2.9629629629629629E-6</v>
      </c>
      <c r="BA101" s="38">
        <f t="shared" si="47"/>
        <v>8.0564378248073404E-7</v>
      </c>
      <c r="BB101" s="38">
        <f t="shared" si="48"/>
        <v>6.0359846510451729E-6</v>
      </c>
      <c r="BC101" s="38">
        <f t="shared" si="25"/>
        <v>3.3163032387475206E-6</v>
      </c>
      <c r="BD101" s="38">
        <f t="shared" si="26"/>
        <v>132.25005119389226</v>
      </c>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row>
    <row r="102" spans="1:194" ht="16.5" customHeight="1" x14ac:dyDescent="0.2">
      <c r="A102" s="1"/>
      <c r="E102" s="44"/>
      <c r="F102" s="44"/>
      <c r="G102" s="44"/>
      <c r="H102" s="44"/>
      <c r="I102" s="15"/>
      <c r="J102" s="15"/>
      <c r="K102" s="15"/>
      <c r="L102" s="15"/>
      <c r="M102" s="42"/>
      <c r="N102" s="42"/>
      <c r="O102" s="42"/>
      <c r="P102" s="42"/>
      <c r="Q102" s="42"/>
      <c r="R102" s="42"/>
      <c r="S102" s="42"/>
      <c r="T102" s="42"/>
      <c r="U102" s="42"/>
      <c r="V102" s="42"/>
      <c r="W102" s="42"/>
      <c r="X102" s="42"/>
      <c r="Y102" s="38">
        <v>45</v>
      </c>
      <c r="Z102" s="38">
        <f t="shared" si="22"/>
        <v>0.17782794100389243</v>
      </c>
      <c r="AA102" s="38">
        <f t="shared" si="27"/>
        <v>52.54737414378809</v>
      </c>
      <c r="AB102" s="38">
        <f t="shared" si="28"/>
        <v>-3.3069528657043823</v>
      </c>
      <c r="AC102" s="38">
        <f t="shared" si="29"/>
        <v>-9.5886472155823892</v>
      </c>
      <c r="AD102" s="38">
        <f t="shared" si="30"/>
        <v>93.071654151013959</v>
      </c>
      <c r="AE102" s="38">
        <f t="shared" si="23"/>
        <v>42.958726928205699</v>
      </c>
      <c r="AF102" s="38">
        <f t="shared" si="24"/>
        <v>89.76470128530957</v>
      </c>
      <c r="AH102" s="38">
        <v>45</v>
      </c>
      <c r="AI102" s="38">
        <f t="shared" si="31"/>
        <v>4.5000000000000005E-3</v>
      </c>
      <c r="AJ102" s="38">
        <f t="shared" si="32"/>
        <v>125.71220220006786</v>
      </c>
      <c r="AK102" s="38">
        <f t="shared" si="33"/>
        <v>1.0455935193945417E-5</v>
      </c>
      <c r="AL102" s="38">
        <f t="shared" si="34"/>
        <v>5.1981806367771283E-6</v>
      </c>
      <c r="AM102" s="38">
        <f t="shared" si="35"/>
        <v>95.639460407047764</v>
      </c>
      <c r="AN102" s="38">
        <f t="shared" si="36"/>
        <v>7.841951395459061E-6</v>
      </c>
      <c r="AO102" s="38">
        <f t="shared" si="37"/>
        <v>4.0182997151075173E-6</v>
      </c>
      <c r="AP102" s="38">
        <f t="shared" si="38"/>
        <v>120.03736729261497</v>
      </c>
      <c r="AQ102" s="38">
        <f t="shared" si="39"/>
        <v>5.2279675969727084E-6</v>
      </c>
      <c r="AR102" s="38">
        <f t="shared" si="40"/>
        <v>3.0743916176110218E-6</v>
      </c>
      <c r="AS102" s="38">
        <f t="shared" si="41"/>
        <v>136.70722923001833</v>
      </c>
      <c r="AT102" s="38">
        <f t="shared" si="42"/>
        <v>2.6139837984863542E-6</v>
      </c>
      <c r="AU102" s="38">
        <f t="shared" si="43"/>
        <v>2.3420734671406896E-6</v>
      </c>
      <c r="AV102" s="38">
        <f t="shared" si="44"/>
        <v>117.7819748921075</v>
      </c>
      <c r="AW102" s="42"/>
      <c r="AX102" s="38">
        <v>56</v>
      </c>
      <c r="AY102" s="38">
        <f t="shared" si="45"/>
        <v>1.5781411691093303</v>
      </c>
      <c r="AZ102" s="38">
        <f t="shared" si="46"/>
        <v>2.9109811565951918E-6</v>
      </c>
      <c r="BA102" s="38">
        <f t="shared" si="47"/>
        <v>8.4712859488150081E-7</v>
      </c>
      <c r="BB102" s="38">
        <f t="shared" si="48"/>
        <v>5.9300901834829772E-6</v>
      </c>
      <c r="BC102" s="38">
        <f t="shared" si="25"/>
        <v>3.2800339470129096E-6</v>
      </c>
      <c r="BD102" s="38">
        <f t="shared" si="26"/>
        <v>132.81918568646674</v>
      </c>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row>
    <row r="103" spans="1:194" ht="16.5" customHeight="1" x14ac:dyDescent="0.2">
      <c r="A103" s="1"/>
      <c r="E103" s="44"/>
      <c r="F103" s="44"/>
      <c r="G103" s="44"/>
      <c r="H103" s="44"/>
      <c r="I103" s="15"/>
      <c r="J103" s="15"/>
      <c r="K103" s="15"/>
      <c r="L103" s="15"/>
      <c r="M103" s="42"/>
      <c r="N103" s="42"/>
      <c r="O103" s="42"/>
      <c r="P103" s="42"/>
      <c r="Q103" s="42"/>
      <c r="R103" s="42"/>
      <c r="S103" s="42"/>
      <c r="T103" s="42"/>
      <c r="U103" s="42"/>
      <c r="V103" s="42"/>
      <c r="W103" s="42"/>
      <c r="X103" s="42"/>
      <c r="Y103" s="38">
        <v>46</v>
      </c>
      <c r="Z103" s="38">
        <f t="shared" si="22"/>
        <v>0.19952623149688803</v>
      </c>
      <c r="AA103" s="38">
        <f t="shared" si="27"/>
        <v>52.543633895775713</v>
      </c>
      <c r="AB103" s="38">
        <f t="shared" si="28"/>
        <v>-3.7093965817675385</v>
      </c>
      <c r="AC103" s="38">
        <f t="shared" si="29"/>
        <v>-10.584925932421326</v>
      </c>
      <c r="AD103" s="38">
        <f t="shared" si="30"/>
        <v>93.445387465905881</v>
      </c>
      <c r="AE103" s="38">
        <f t="shared" si="23"/>
        <v>41.958707963354385</v>
      </c>
      <c r="AF103" s="38">
        <f t="shared" si="24"/>
        <v>89.735990884138346</v>
      </c>
      <c r="AH103" s="38">
        <v>46</v>
      </c>
      <c r="AI103" s="38">
        <f t="shared" si="31"/>
        <v>4.5999999999999999E-3</v>
      </c>
      <c r="AJ103" s="38">
        <f t="shared" si="32"/>
        <v>126.27558594258002</v>
      </c>
      <c r="AK103" s="38">
        <f t="shared" si="33"/>
        <v>1.0503546685548809E-5</v>
      </c>
      <c r="AL103" s="38">
        <f t="shared" si="34"/>
        <v>5.1981806367771283E-6</v>
      </c>
      <c r="AM103" s="38">
        <f t="shared" si="35"/>
        <v>95.205936617184662</v>
      </c>
      <c r="AN103" s="38">
        <f t="shared" si="36"/>
        <v>7.8776600141616062E-6</v>
      </c>
      <c r="AO103" s="38">
        <f t="shared" si="37"/>
        <v>4.0177729086222866E-6</v>
      </c>
      <c r="AP103" s="38">
        <f t="shared" si="38"/>
        <v>119.52458804473734</v>
      </c>
      <c r="AQ103" s="38">
        <f t="shared" si="39"/>
        <v>5.2517733427744044E-6</v>
      </c>
      <c r="AR103" s="38">
        <f t="shared" si="40"/>
        <v>3.0725246288527879E-6</v>
      </c>
      <c r="AS103" s="38">
        <f t="shared" si="41"/>
        <v>136.25298420310733</v>
      </c>
      <c r="AT103" s="38">
        <f t="shared" si="42"/>
        <v>2.6258866713872022E-6</v>
      </c>
      <c r="AU103" s="38">
        <f t="shared" si="43"/>
        <v>2.3388002349224572E-6</v>
      </c>
      <c r="AV103" s="38">
        <f t="shared" si="44"/>
        <v>117.57649655612227</v>
      </c>
      <c r="AW103" s="42"/>
      <c r="AX103" s="38">
        <v>55</v>
      </c>
      <c r="AY103" s="38">
        <f t="shared" si="45"/>
        <v>1.5588886482323778</v>
      </c>
      <c r="AZ103" s="38">
        <f t="shared" si="46"/>
        <v>2.8589993502274199E-6</v>
      </c>
      <c r="BA103" s="38">
        <f t="shared" si="47"/>
        <v>8.9012194591502306E-7</v>
      </c>
      <c r="BB103" s="38">
        <f t="shared" si="48"/>
        <v>5.8241957159207806E-6</v>
      </c>
      <c r="BC103" s="38">
        <f t="shared" si="25"/>
        <v>3.2440787397471157E-6</v>
      </c>
      <c r="BD103" s="38">
        <f t="shared" si="26"/>
        <v>133.35502316548516</v>
      </c>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row>
    <row r="104" spans="1:194" ht="16.5" customHeight="1" x14ac:dyDescent="0.2">
      <c r="A104" s="1"/>
      <c r="E104" s="44"/>
      <c r="F104" s="44"/>
      <c r="G104" s="44"/>
      <c r="H104" s="44"/>
      <c r="I104" s="15"/>
      <c r="J104" s="15"/>
      <c r="K104" s="15"/>
      <c r="L104" s="15"/>
      <c r="M104" s="42"/>
      <c r="N104" s="42"/>
      <c r="O104" s="42"/>
      <c r="P104" s="42"/>
      <c r="Q104" s="42"/>
      <c r="R104" s="42"/>
      <c r="S104" s="42"/>
      <c r="T104" s="42"/>
      <c r="U104" s="42"/>
      <c r="V104" s="42"/>
      <c r="W104" s="42"/>
      <c r="X104" s="42"/>
      <c r="Y104" s="38">
        <v>47</v>
      </c>
      <c r="Z104" s="38">
        <f t="shared" si="22"/>
        <v>0.22387211385683412</v>
      </c>
      <c r="AA104" s="38">
        <f t="shared" si="27"/>
        <v>52.538929778127709</v>
      </c>
      <c r="AB104" s="38">
        <f t="shared" si="28"/>
        <v>-4.1605080294457011</v>
      </c>
      <c r="AC104" s="38">
        <f t="shared" si="29"/>
        <v>-11.580245689988804</v>
      </c>
      <c r="AD104" s="38">
        <f t="shared" si="30"/>
        <v>93.864285472172241</v>
      </c>
      <c r="AE104" s="38">
        <f t="shared" si="23"/>
        <v>40.958684088138909</v>
      </c>
      <c r="AF104" s="38">
        <f t="shared" si="24"/>
        <v>89.703777442726533</v>
      </c>
      <c r="AH104" s="38">
        <v>47</v>
      </c>
      <c r="AI104" s="38">
        <f t="shared" si="31"/>
        <v>4.6999999999999993E-3</v>
      </c>
      <c r="AJ104" s="38">
        <f t="shared" si="32"/>
        <v>126.71435092720311</v>
      </c>
      <c r="AK104" s="38">
        <f t="shared" si="33"/>
        <v>1.0540928072065674E-5</v>
      </c>
      <c r="AL104" s="38">
        <f t="shared" si="34"/>
        <v>5.1981806367771283E-6</v>
      </c>
      <c r="AM104" s="38">
        <f t="shared" si="35"/>
        <v>94.868306961517206</v>
      </c>
      <c r="AN104" s="38">
        <f t="shared" si="36"/>
        <v>7.905696054049254E-6</v>
      </c>
      <c r="AO104" s="38">
        <f t="shared" si="37"/>
        <v>4.0173625371637516E-6</v>
      </c>
      <c r="AP104" s="38">
        <f t="shared" si="38"/>
        <v>119.12505033352758</v>
      </c>
      <c r="AQ104" s="38">
        <f t="shared" si="39"/>
        <v>5.2704640360328371E-6</v>
      </c>
      <c r="AR104" s="38">
        <f t="shared" si="40"/>
        <v>3.0710692493954507E-6</v>
      </c>
      <c r="AS104" s="38">
        <f t="shared" si="41"/>
        <v>135.89850211368918</v>
      </c>
      <c r="AT104" s="38">
        <f t="shared" si="42"/>
        <v>2.6352320180164186E-6</v>
      </c>
      <c r="AU104" s="38">
        <f t="shared" si="43"/>
        <v>2.3362466311745604E-6</v>
      </c>
      <c r="AV104" s="38">
        <f t="shared" si="44"/>
        <v>117.41579334462583</v>
      </c>
      <c r="AW104" s="42"/>
      <c r="AX104" s="38">
        <v>54</v>
      </c>
      <c r="AY104" s="38">
        <f t="shared" si="45"/>
        <v>1.5396361273554258</v>
      </c>
      <c r="AZ104" s="38">
        <f t="shared" si="46"/>
        <v>2.8070175438596497E-6</v>
      </c>
      <c r="BA104" s="38">
        <f t="shared" si="47"/>
        <v>9.3470764328311929E-7</v>
      </c>
      <c r="BB104" s="38">
        <f t="shared" si="48"/>
        <v>5.7183012483585866E-6</v>
      </c>
      <c r="BC104" s="38">
        <f t="shared" si="25"/>
        <v>3.2084428187540556E-6</v>
      </c>
      <c r="BD104" s="38">
        <f t="shared" si="26"/>
        <v>133.85500535880428</v>
      </c>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row>
    <row r="105" spans="1:194" ht="16.5" customHeight="1" x14ac:dyDescent="0.2">
      <c r="A105" s="1"/>
      <c r="E105" s="44"/>
      <c r="F105" s="44"/>
      <c r="G105" s="44"/>
      <c r="H105" s="44"/>
      <c r="I105" s="15"/>
      <c r="J105" s="15"/>
      <c r="K105" s="15"/>
      <c r="L105" s="15"/>
      <c r="M105" s="42"/>
      <c r="N105" s="42"/>
      <c r="O105" s="42"/>
      <c r="P105" s="42"/>
      <c r="Q105" s="42"/>
      <c r="R105" s="42"/>
      <c r="S105" s="42"/>
      <c r="T105" s="42"/>
      <c r="U105" s="42"/>
      <c r="V105" s="42"/>
      <c r="W105" s="42"/>
      <c r="X105" s="42"/>
      <c r="Y105" s="38">
        <v>48</v>
      </c>
      <c r="Z105" s="38">
        <f t="shared" si="22"/>
        <v>0.25118864315095807</v>
      </c>
      <c r="AA105" s="38">
        <f t="shared" si="27"/>
        <v>52.533014880783561</v>
      </c>
      <c r="AB105" s="38">
        <f t="shared" si="28"/>
        <v>-4.6660463082165125</v>
      </c>
      <c r="AC105" s="38">
        <f t="shared" si="29"/>
        <v>-12.574360849573518</v>
      </c>
      <c r="AD105" s="38">
        <f t="shared" si="30"/>
        <v>94.33367989913333</v>
      </c>
      <c r="AE105" s="38">
        <f t="shared" si="23"/>
        <v>39.958654031210045</v>
      </c>
      <c r="AF105" s="38">
        <f t="shared" si="24"/>
        <v>89.667633590916822</v>
      </c>
      <c r="AH105" s="38">
        <v>48</v>
      </c>
      <c r="AI105" s="38">
        <f t="shared" si="31"/>
        <v>4.7999999999999996E-3</v>
      </c>
      <c r="AJ105" s="38">
        <f t="shared" si="32"/>
        <v>127.02806414587003</v>
      </c>
      <c r="AK105" s="38">
        <f t="shared" si="33"/>
        <v>1.0567818991934958E-5</v>
      </c>
      <c r="AL105" s="38">
        <f t="shared" si="34"/>
        <v>5.1981806367771283E-6</v>
      </c>
      <c r="AM105" s="38">
        <f t="shared" si="35"/>
        <v>94.626904639753008</v>
      </c>
      <c r="AN105" s="38">
        <f t="shared" si="36"/>
        <v>7.9258642439512178E-6</v>
      </c>
      <c r="AO105" s="38">
        <f t="shared" si="37"/>
        <v>4.017069075140736E-6</v>
      </c>
      <c r="AP105" s="38">
        <f t="shared" si="38"/>
        <v>118.83928560533263</v>
      </c>
      <c r="AQ105" s="38">
        <f t="shared" si="39"/>
        <v>5.2839094959674791E-6</v>
      </c>
      <c r="AR105" s="38">
        <f t="shared" si="40"/>
        <v>3.0700279320178689E-6</v>
      </c>
      <c r="AS105" s="38">
        <f t="shared" si="41"/>
        <v>135.64466552755212</v>
      </c>
      <c r="AT105" s="38">
        <f t="shared" si="42"/>
        <v>2.6419547479837395E-6</v>
      </c>
      <c r="AU105" s="38">
        <f t="shared" si="43"/>
        <v>2.3344184531113556E-6</v>
      </c>
      <c r="AV105" s="38">
        <f t="shared" si="44"/>
        <v>117.30052661714321</v>
      </c>
      <c r="AW105" s="42"/>
      <c r="AX105" s="38">
        <v>53</v>
      </c>
      <c r="AY105" s="38">
        <f t="shared" si="45"/>
        <v>1.5203836064784735</v>
      </c>
      <c r="AZ105" s="38">
        <f t="shared" si="46"/>
        <v>2.7550357374918782E-6</v>
      </c>
      <c r="BA105" s="38">
        <f t="shared" si="47"/>
        <v>9.8097581979718174E-7</v>
      </c>
      <c r="BB105" s="38">
        <f t="shared" si="48"/>
        <v>5.61240678079639E-6</v>
      </c>
      <c r="BC105" s="38">
        <f t="shared" si="25"/>
        <v>3.1731313291157841E-6</v>
      </c>
      <c r="BD105" s="38">
        <f t="shared" si="26"/>
        <v>134.31646053107423</v>
      </c>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row>
    <row r="106" spans="1:194" ht="16.5" customHeight="1" x14ac:dyDescent="0.2">
      <c r="A106" s="1"/>
      <c r="E106" s="44"/>
      <c r="F106" s="44"/>
      <c r="G106" s="44"/>
      <c r="H106" s="44"/>
      <c r="I106" s="15"/>
      <c r="J106" s="15"/>
      <c r="K106" s="15"/>
      <c r="L106" s="15"/>
      <c r="M106" s="42"/>
      <c r="N106" s="42"/>
      <c r="O106" s="42"/>
      <c r="P106" s="42"/>
      <c r="Q106" s="42"/>
      <c r="R106" s="42"/>
      <c r="S106" s="42"/>
      <c r="T106" s="42"/>
      <c r="U106" s="42"/>
      <c r="V106" s="42"/>
      <c r="W106" s="42"/>
      <c r="X106" s="42"/>
      <c r="Y106" s="38">
        <v>49</v>
      </c>
      <c r="Z106" s="38">
        <f t="shared" si="22"/>
        <v>0.28183829312644554</v>
      </c>
      <c r="AA106" s="38">
        <f t="shared" si="27"/>
        <v>52.52557990260194</v>
      </c>
      <c r="AB106" s="38">
        <f t="shared" si="28"/>
        <v>-5.2324003301830606</v>
      </c>
      <c r="AC106" s="38">
        <f t="shared" si="29"/>
        <v>-13.566963710527672</v>
      </c>
      <c r="AD106" s="38">
        <f t="shared" si="30"/>
        <v>94.859480168666195</v>
      </c>
      <c r="AE106" s="38">
        <f t="shared" si="23"/>
        <v>38.958616192074267</v>
      </c>
      <c r="AF106" s="38">
        <f t="shared" si="24"/>
        <v>89.627079838483141</v>
      </c>
      <c r="AH106" s="38">
        <v>49</v>
      </c>
      <c r="AI106" s="38">
        <f t="shared" si="31"/>
        <v>4.8999999999999998E-3</v>
      </c>
      <c r="AJ106" s="38">
        <f t="shared" si="32"/>
        <v>127.21641600150903</v>
      </c>
      <c r="AK106" s="38">
        <f t="shared" si="33"/>
        <v>1.0584030184444314E-5</v>
      </c>
      <c r="AL106" s="38">
        <f t="shared" si="34"/>
        <v>5.1981806367771283E-6</v>
      </c>
      <c r="AM106" s="38">
        <f t="shared" si="35"/>
        <v>94.481967886838788</v>
      </c>
      <c r="AN106" s="38">
        <f t="shared" si="36"/>
        <v>7.938022638333234E-6</v>
      </c>
      <c r="AO106" s="38">
        <f t="shared" si="37"/>
        <v>4.0168928619908395E-6</v>
      </c>
      <c r="AP106" s="38">
        <f t="shared" si="38"/>
        <v>118.66767433453208</v>
      </c>
      <c r="AQ106" s="38">
        <f t="shared" si="39"/>
        <v>5.2920150922221568E-6</v>
      </c>
      <c r="AR106" s="38">
        <f t="shared" si="40"/>
        <v>3.0694024358965647E-6</v>
      </c>
      <c r="AS106" s="38">
        <f t="shared" si="41"/>
        <v>135.49210875255997</v>
      </c>
      <c r="AT106" s="38">
        <f t="shared" si="42"/>
        <v>2.6460075461110784E-6</v>
      </c>
      <c r="AU106" s="38">
        <f t="shared" si="43"/>
        <v>2.3333198703233642E-6</v>
      </c>
      <c r="AV106" s="38">
        <f t="shared" si="44"/>
        <v>117.23117402962782</v>
      </c>
      <c r="AW106" s="42"/>
      <c r="AX106" s="38">
        <v>52</v>
      </c>
      <c r="AY106" s="38">
        <f t="shared" si="45"/>
        <v>1.501131085601521</v>
      </c>
      <c r="AZ106" s="38">
        <f t="shared" si="46"/>
        <v>2.7030539311241067E-6</v>
      </c>
      <c r="BA106" s="38">
        <f t="shared" si="47"/>
        <v>1.0290235415617859E-6</v>
      </c>
      <c r="BB106" s="38">
        <f t="shared" si="48"/>
        <v>5.5065123132341934E-6</v>
      </c>
      <c r="BC106" s="38">
        <f t="shared" si="25"/>
        <v>3.1381493483934323E-6</v>
      </c>
      <c r="BD106" s="38">
        <f t="shared" si="26"/>
        <v>134.73660192490226</v>
      </c>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row>
    <row r="107" spans="1:194" ht="16.5" customHeight="1" x14ac:dyDescent="0.2">
      <c r="A107" s="1"/>
      <c r="E107" s="44"/>
      <c r="F107" s="44"/>
      <c r="G107" s="44"/>
      <c r="H107" s="44"/>
      <c r="I107" s="15"/>
      <c r="J107" s="15"/>
      <c r="K107" s="15"/>
      <c r="L107" s="15"/>
      <c r="M107" s="42"/>
      <c r="N107" s="42"/>
      <c r="O107" s="42"/>
      <c r="P107" s="42"/>
      <c r="Q107" s="42"/>
      <c r="R107" s="42"/>
      <c r="S107" s="42"/>
      <c r="T107" s="42"/>
      <c r="U107" s="42"/>
      <c r="V107" s="42"/>
      <c r="W107" s="42"/>
      <c r="X107" s="42"/>
      <c r="Y107" s="38">
        <v>50</v>
      </c>
      <c r="Z107" s="38">
        <f t="shared" si="22"/>
        <v>0.31622776601683827</v>
      </c>
      <c r="AA107" s="38">
        <f t="shared" si="27"/>
        <v>52.516237882063173</v>
      </c>
      <c r="AB107" s="38">
        <f t="shared" si="28"/>
        <v>-5.8666363981882306</v>
      </c>
      <c r="AC107" s="38">
        <f t="shared" si="29"/>
        <v>-14.557669326169703</v>
      </c>
      <c r="AD107" s="38">
        <f t="shared" si="30"/>
        <v>95.448214624836311</v>
      </c>
      <c r="AE107" s="38">
        <f t="shared" si="23"/>
        <v>37.958568555893471</v>
      </c>
      <c r="AF107" s="38">
        <f t="shared" si="24"/>
        <v>89.581578226648077</v>
      </c>
      <c r="AH107" s="38">
        <v>50</v>
      </c>
      <c r="AI107" s="38">
        <f t="shared" si="31"/>
        <v>5.0000000000000001E-3</v>
      </c>
      <c r="AJ107" s="38">
        <f t="shared" si="32"/>
        <v>127.27922061357856</v>
      </c>
      <c r="AK107" s="38">
        <f t="shared" si="33"/>
        <v>1.0589446756219604E-5</v>
      </c>
      <c r="AL107" s="38">
        <f t="shared" si="34"/>
        <v>5.1981806367771283E-6</v>
      </c>
      <c r="AM107" s="38">
        <f t="shared" si="35"/>
        <v>94.433639737851294</v>
      </c>
      <c r="AN107" s="38">
        <f t="shared" si="36"/>
        <v>7.9420850671647021E-6</v>
      </c>
      <c r="AO107" s="38">
        <f t="shared" si="37"/>
        <v>4.0168341016066782E-6</v>
      </c>
      <c r="AP107" s="38">
        <f t="shared" si="38"/>
        <v>118.61044515449045</v>
      </c>
      <c r="AQ107" s="38">
        <f t="shared" si="39"/>
        <v>5.2947233781098019E-6</v>
      </c>
      <c r="AR107" s="38">
        <f t="shared" si="40"/>
        <v>3.0691938194286706E-6</v>
      </c>
      <c r="AS107" s="38">
        <f t="shared" si="41"/>
        <v>135.44121394481016</v>
      </c>
      <c r="AT107" s="38">
        <f t="shared" si="42"/>
        <v>2.647361689054901E-6</v>
      </c>
      <c r="AU107" s="38">
        <f t="shared" si="43"/>
        <v>2.3329533961532701E-6</v>
      </c>
      <c r="AV107" s="38">
        <f t="shared" si="44"/>
        <v>117.20802430160977</v>
      </c>
      <c r="AW107" s="42"/>
      <c r="AX107" s="38">
        <v>51</v>
      </c>
      <c r="AY107" s="38">
        <f t="shared" si="45"/>
        <v>1.4818785647245685</v>
      </c>
      <c r="AZ107" s="38">
        <f t="shared" si="46"/>
        <v>2.6510721247563348E-6</v>
      </c>
      <c r="BA107" s="38">
        <f t="shared" si="47"/>
        <v>1.0789554877093155E-6</v>
      </c>
      <c r="BB107" s="38">
        <f t="shared" si="48"/>
        <v>5.400617845671996E-6</v>
      </c>
      <c r="BC107" s="38">
        <f t="shared" si="25"/>
        <v>3.1035018755206484E-6</v>
      </c>
      <c r="BD107" s="38">
        <f t="shared" si="26"/>
        <v>135.11252649239688</v>
      </c>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row>
    <row r="108" spans="1:194" ht="16.5" customHeight="1" x14ac:dyDescent="0.2">
      <c r="A108" s="1"/>
      <c r="E108" s="44"/>
      <c r="F108" s="44"/>
      <c r="G108" s="44"/>
      <c r="H108" s="44"/>
      <c r="I108" s="15"/>
      <c r="J108" s="15"/>
      <c r="K108" s="15"/>
      <c r="L108" s="15"/>
      <c r="M108" s="42"/>
      <c r="N108" s="42"/>
      <c r="O108" s="42"/>
      <c r="P108" s="42"/>
      <c r="Q108" s="42"/>
      <c r="R108" s="42"/>
      <c r="S108" s="42"/>
      <c r="T108" s="42"/>
      <c r="U108" s="42"/>
      <c r="V108" s="42"/>
      <c r="W108" s="42"/>
      <c r="X108" s="42"/>
      <c r="Y108" s="38">
        <v>51</v>
      </c>
      <c r="Z108" s="38">
        <f t="shared" si="22"/>
        <v>0.35481338923357569</v>
      </c>
      <c r="AA108" s="38">
        <f t="shared" si="27"/>
        <v>52.50450547701351</v>
      </c>
      <c r="AB108" s="38">
        <f t="shared" si="28"/>
        <v>-6.5765401269856509</v>
      </c>
      <c r="AC108" s="38">
        <f t="shared" si="29"/>
        <v>-15.545996890775617</v>
      </c>
      <c r="AD108" s="38">
        <f t="shared" si="30"/>
        <v>96.107065336543258</v>
      </c>
      <c r="AE108" s="38">
        <f t="shared" si="23"/>
        <v>36.95850858623789</v>
      </c>
      <c r="AF108" s="38">
        <f t="shared" si="24"/>
        <v>89.530525209557609</v>
      </c>
      <c r="AH108" s="38">
        <v>51</v>
      </c>
      <c r="AI108" s="38">
        <f t="shared" si="31"/>
        <v>5.1000000000000004E-3</v>
      </c>
      <c r="AJ108" s="38">
        <f t="shared" si="32"/>
        <v>127.21641600150903</v>
      </c>
      <c r="AK108" s="38">
        <f t="shared" si="33"/>
        <v>1.0584030184444314E-5</v>
      </c>
      <c r="AL108" s="38">
        <f t="shared" si="34"/>
        <v>5.1981806367771283E-6</v>
      </c>
      <c r="AM108" s="38">
        <f t="shared" si="35"/>
        <v>94.481967886838788</v>
      </c>
      <c r="AN108" s="38">
        <f t="shared" si="36"/>
        <v>7.938022638333234E-6</v>
      </c>
      <c r="AO108" s="38">
        <f t="shared" si="37"/>
        <v>4.0168928619908395E-6</v>
      </c>
      <c r="AP108" s="38">
        <f t="shared" si="38"/>
        <v>118.66767433453208</v>
      </c>
      <c r="AQ108" s="38">
        <f t="shared" si="39"/>
        <v>5.2920150922221568E-6</v>
      </c>
      <c r="AR108" s="38">
        <f t="shared" si="40"/>
        <v>3.0694024358965647E-6</v>
      </c>
      <c r="AS108" s="38">
        <f t="shared" si="41"/>
        <v>135.49210875255997</v>
      </c>
      <c r="AT108" s="38">
        <f t="shared" si="42"/>
        <v>2.6460075461110784E-6</v>
      </c>
      <c r="AU108" s="38">
        <f t="shared" si="43"/>
        <v>2.3333198703233642E-6</v>
      </c>
      <c r="AV108" s="38">
        <f t="shared" si="44"/>
        <v>117.23117402962782</v>
      </c>
      <c r="AW108" s="42"/>
      <c r="AX108" s="38">
        <v>50</v>
      </c>
      <c r="AY108" s="38">
        <f t="shared" si="45"/>
        <v>1.4626260438476164</v>
      </c>
      <c r="AZ108" s="38">
        <f t="shared" si="46"/>
        <v>2.5990903183885641E-6</v>
      </c>
      <c r="BA108" s="38">
        <f t="shared" si="47"/>
        <v>1.1308847117027451E-6</v>
      </c>
      <c r="BB108" s="38">
        <f t="shared" si="48"/>
        <v>5.2947233781098019E-6</v>
      </c>
      <c r="BC108" s="38">
        <f t="shared" si="25"/>
        <v>3.0691938194286706E-6</v>
      </c>
      <c r="BD108" s="38">
        <f t="shared" si="26"/>
        <v>135.44121394481016</v>
      </c>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row>
    <row r="109" spans="1:194" ht="16.5" customHeight="1" x14ac:dyDescent="0.2">
      <c r="A109" s="1"/>
      <c r="E109" s="44"/>
      <c r="F109" s="44"/>
      <c r="G109" s="44"/>
      <c r="H109" s="44"/>
      <c r="I109" s="15"/>
      <c r="J109" s="15"/>
      <c r="K109" s="15"/>
      <c r="L109" s="15"/>
      <c r="M109" s="42"/>
      <c r="N109" s="42"/>
      <c r="O109" s="42"/>
      <c r="P109" s="42"/>
      <c r="Q109" s="42"/>
      <c r="R109" s="42"/>
      <c r="S109" s="42"/>
      <c r="T109" s="42"/>
      <c r="U109" s="42"/>
      <c r="V109" s="42"/>
      <c r="W109" s="42"/>
      <c r="X109" s="42"/>
      <c r="Y109" s="38">
        <v>52</v>
      </c>
      <c r="Z109" s="38">
        <f t="shared" si="22"/>
        <v>0.39810717055349759</v>
      </c>
      <c r="AA109" s="38">
        <f t="shared" si="27"/>
        <v>52.48978017919822</v>
      </c>
      <c r="AB109" s="38">
        <f t="shared" si="28"/>
        <v>-7.3706477491532958</v>
      </c>
      <c r="AC109" s="38">
        <f t="shared" si="29"/>
        <v>-16.53134708910623</v>
      </c>
      <c r="AD109" s="38">
        <f t="shared" si="30"/>
        <v>96.843891422799459</v>
      </c>
      <c r="AE109" s="38">
        <f t="shared" si="23"/>
        <v>35.958433090091987</v>
      </c>
      <c r="AF109" s="38">
        <f t="shared" si="24"/>
        <v>89.473243673646166</v>
      </c>
      <c r="AH109" s="38">
        <v>52</v>
      </c>
      <c r="AI109" s="38">
        <f t="shared" si="31"/>
        <v>5.1999999999999998E-3</v>
      </c>
      <c r="AJ109" s="38">
        <f t="shared" si="32"/>
        <v>127.02806414587003</v>
      </c>
      <c r="AK109" s="38">
        <f t="shared" si="33"/>
        <v>1.0567818991934958E-5</v>
      </c>
      <c r="AL109" s="38">
        <f t="shared" si="34"/>
        <v>5.1981806367771283E-6</v>
      </c>
      <c r="AM109" s="38">
        <f t="shared" si="35"/>
        <v>94.626904639753008</v>
      </c>
      <c r="AN109" s="38">
        <f t="shared" si="36"/>
        <v>7.9258642439512178E-6</v>
      </c>
      <c r="AO109" s="38">
        <f t="shared" si="37"/>
        <v>4.017069075140736E-6</v>
      </c>
      <c r="AP109" s="38">
        <f t="shared" si="38"/>
        <v>118.83928560533263</v>
      </c>
      <c r="AQ109" s="38">
        <f t="shared" si="39"/>
        <v>5.2839094959674791E-6</v>
      </c>
      <c r="AR109" s="38">
        <f t="shared" si="40"/>
        <v>3.0700279320178689E-6</v>
      </c>
      <c r="AS109" s="38">
        <f t="shared" si="41"/>
        <v>135.64466552755212</v>
      </c>
      <c r="AT109" s="38">
        <f t="shared" si="42"/>
        <v>2.6419547479837395E-6</v>
      </c>
      <c r="AU109" s="38">
        <f t="shared" si="43"/>
        <v>2.3344184531113556E-6</v>
      </c>
      <c r="AV109" s="38">
        <f t="shared" si="44"/>
        <v>117.30052661714321</v>
      </c>
      <c r="AW109" s="42"/>
      <c r="AX109" s="38">
        <v>49</v>
      </c>
      <c r="AY109" s="38">
        <f t="shared" si="45"/>
        <v>1.4433735229706641</v>
      </c>
      <c r="AZ109" s="38">
        <f t="shared" si="46"/>
        <v>2.5471085120207931E-6</v>
      </c>
      <c r="BA109" s="38">
        <f t="shared" si="47"/>
        <v>1.1849334958591726E-6</v>
      </c>
      <c r="BB109" s="38">
        <f t="shared" si="48"/>
        <v>5.1888289105476062E-6</v>
      </c>
      <c r="BC109" s="38">
        <f t="shared" si="25"/>
        <v>3.035229987446791E-6</v>
      </c>
      <c r="BD109" s="38">
        <f t="shared" si="26"/>
        <v>135.71952614774247</v>
      </c>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row>
    <row r="110" spans="1:194" ht="16.5" customHeight="1" x14ac:dyDescent="0.2">
      <c r="A110" s="1"/>
      <c r="E110" s="44"/>
      <c r="F110" s="44"/>
      <c r="G110" s="44"/>
      <c r="H110" s="44"/>
      <c r="I110" s="15"/>
      <c r="J110" s="15"/>
      <c r="K110" s="15"/>
      <c r="L110" s="15"/>
      <c r="M110" s="42"/>
      <c r="N110" s="42"/>
      <c r="O110" s="42"/>
      <c r="P110" s="42"/>
      <c r="Q110" s="42"/>
      <c r="R110" s="42"/>
      <c r="S110" s="42"/>
      <c r="T110" s="42"/>
      <c r="U110" s="42"/>
      <c r="V110" s="42"/>
      <c r="W110" s="42"/>
      <c r="X110" s="42"/>
      <c r="Y110" s="38">
        <v>53</v>
      </c>
      <c r="Z110" s="38">
        <f t="shared" si="22"/>
        <v>0.44668359215096332</v>
      </c>
      <c r="AA110" s="38">
        <f t="shared" si="27"/>
        <v>52.471312839581117</v>
      </c>
      <c r="AB110" s="38">
        <f t="shared" si="28"/>
        <v>-8.2582598204885169</v>
      </c>
      <c r="AC110" s="38">
        <f t="shared" si="29"/>
        <v>-17.512974791639611</v>
      </c>
      <c r="AD110" s="38">
        <f t="shared" si="30"/>
        <v>97.667233812859507</v>
      </c>
      <c r="AE110" s="38">
        <f t="shared" si="23"/>
        <v>34.95833804794151</v>
      </c>
      <c r="AF110" s="38">
        <f t="shared" si="24"/>
        <v>89.408973992370989</v>
      </c>
      <c r="AH110" s="38">
        <v>53</v>
      </c>
      <c r="AI110" s="38">
        <f t="shared" si="31"/>
        <v>5.3E-3</v>
      </c>
      <c r="AJ110" s="38">
        <f t="shared" si="32"/>
        <v>126.71435092720311</v>
      </c>
      <c r="AK110" s="38">
        <f t="shared" si="33"/>
        <v>1.0540928072065674E-5</v>
      </c>
      <c r="AL110" s="38">
        <f t="shared" si="34"/>
        <v>5.1981806367771283E-6</v>
      </c>
      <c r="AM110" s="38">
        <f t="shared" si="35"/>
        <v>94.868306961517206</v>
      </c>
      <c r="AN110" s="38">
        <f t="shared" si="36"/>
        <v>7.905696054049254E-6</v>
      </c>
      <c r="AO110" s="38">
        <f t="shared" si="37"/>
        <v>4.0173625371637516E-6</v>
      </c>
      <c r="AP110" s="38">
        <f t="shared" si="38"/>
        <v>119.12505033352758</v>
      </c>
      <c r="AQ110" s="38">
        <f t="shared" si="39"/>
        <v>5.2704640360328371E-6</v>
      </c>
      <c r="AR110" s="38">
        <f t="shared" si="40"/>
        <v>3.0710692493954507E-6</v>
      </c>
      <c r="AS110" s="38">
        <f t="shared" si="41"/>
        <v>135.89850211368918</v>
      </c>
      <c r="AT110" s="38">
        <f t="shared" si="42"/>
        <v>2.6352320180164186E-6</v>
      </c>
      <c r="AU110" s="38">
        <f t="shared" si="43"/>
        <v>2.3362466311745604E-6</v>
      </c>
      <c r="AV110" s="38">
        <f t="shared" si="44"/>
        <v>117.41579334462583</v>
      </c>
      <c r="AW110" s="42"/>
      <c r="AX110" s="38">
        <v>48</v>
      </c>
      <c r="AY110" s="38">
        <f t="shared" si="45"/>
        <v>1.4241210020937118</v>
      </c>
      <c r="AZ110" s="38">
        <f t="shared" si="46"/>
        <v>2.495126705653022E-6</v>
      </c>
      <c r="BA110" s="38">
        <f t="shared" si="47"/>
        <v>1.2412343126887846E-6</v>
      </c>
      <c r="BB110" s="38">
        <f t="shared" si="48"/>
        <v>5.0829344429854105E-6</v>
      </c>
      <c r="BC110" s="38">
        <f t="shared" si="25"/>
        <v>3.0016150735266657E-6</v>
      </c>
      <c r="BD110" s="38">
        <f t="shared" si="26"/>
        <v>135.94420688879876</v>
      </c>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row>
    <row r="111" spans="1:194" ht="16.5" customHeight="1" x14ac:dyDescent="0.2">
      <c r="A111" s="1"/>
      <c r="E111" s="44"/>
      <c r="F111" s="44"/>
      <c r="G111" s="44"/>
      <c r="H111" s="44"/>
      <c r="I111" s="15"/>
      <c r="J111" s="15"/>
      <c r="K111" s="15"/>
      <c r="L111" s="15"/>
      <c r="M111" s="42"/>
      <c r="N111" s="42"/>
      <c r="O111" s="42"/>
      <c r="P111" s="42"/>
      <c r="Q111" s="42"/>
      <c r="R111" s="42"/>
      <c r="S111" s="42"/>
      <c r="T111" s="42"/>
      <c r="U111" s="42"/>
      <c r="V111" s="42"/>
      <c r="W111" s="42"/>
      <c r="X111" s="42"/>
      <c r="Y111" s="38">
        <v>54</v>
      </c>
      <c r="Z111" s="38">
        <f t="shared" si="22"/>
        <v>0.50118723362727269</v>
      </c>
      <c r="AA111" s="38">
        <f t="shared" si="27"/>
        <v>52.448174942353177</v>
      </c>
      <c r="AB111" s="38">
        <f t="shared" si="28"/>
        <v>-9.2494277192122514</v>
      </c>
      <c r="AC111" s="38">
        <f t="shared" si="29"/>
        <v>-18.489956542432733</v>
      </c>
      <c r="AD111" s="38">
        <f t="shared" si="30"/>
        <v>98.586291721599025</v>
      </c>
      <c r="AE111" s="38">
        <f t="shared" si="23"/>
        <v>33.95821839992044</v>
      </c>
      <c r="AF111" s="38">
        <f t="shared" si="24"/>
        <v>89.336864002386775</v>
      </c>
      <c r="AH111" s="38">
        <v>54</v>
      </c>
      <c r="AI111" s="38">
        <f t="shared" si="31"/>
        <v>5.4000000000000003E-3</v>
      </c>
      <c r="AJ111" s="38">
        <f t="shared" si="32"/>
        <v>126.27558594258001</v>
      </c>
      <c r="AK111" s="38">
        <f t="shared" si="33"/>
        <v>1.0503546685548809E-5</v>
      </c>
      <c r="AL111" s="38">
        <f t="shared" si="34"/>
        <v>5.1981806367771283E-6</v>
      </c>
      <c r="AM111" s="38">
        <f t="shared" si="35"/>
        <v>95.205936617184662</v>
      </c>
      <c r="AN111" s="38">
        <f t="shared" si="36"/>
        <v>7.8776600141616046E-6</v>
      </c>
      <c r="AO111" s="38">
        <f t="shared" si="37"/>
        <v>4.0177729086222866E-6</v>
      </c>
      <c r="AP111" s="38">
        <f t="shared" si="38"/>
        <v>119.52458804473737</v>
      </c>
      <c r="AQ111" s="38">
        <f t="shared" si="39"/>
        <v>5.2517733427744044E-6</v>
      </c>
      <c r="AR111" s="38">
        <f t="shared" si="40"/>
        <v>3.0725246288527879E-6</v>
      </c>
      <c r="AS111" s="38">
        <f t="shared" si="41"/>
        <v>136.25298420310733</v>
      </c>
      <c r="AT111" s="38">
        <f t="shared" si="42"/>
        <v>2.6258866713872022E-6</v>
      </c>
      <c r="AU111" s="38">
        <f t="shared" si="43"/>
        <v>2.3388002349224572E-6</v>
      </c>
      <c r="AV111" s="38">
        <f t="shared" si="44"/>
        <v>117.57649655612227</v>
      </c>
      <c r="AW111" s="42"/>
      <c r="AX111" s="38">
        <v>47</v>
      </c>
      <c r="AY111" s="38">
        <f t="shared" si="45"/>
        <v>1.4048684812167593</v>
      </c>
      <c r="AZ111" s="38">
        <f t="shared" si="46"/>
        <v>2.4431448992852501E-6</v>
      </c>
      <c r="BA111" s="38">
        <f t="shared" si="47"/>
        <v>1.299930908957955E-6</v>
      </c>
      <c r="BB111" s="38">
        <f t="shared" si="48"/>
        <v>4.977039975423213E-6</v>
      </c>
      <c r="BC111" s="38">
        <f t="shared" si="25"/>
        <v>2.9683536463432932E-6</v>
      </c>
      <c r="BD111" s="38">
        <f t="shared" si="26"/>
        <v>136.11188204367585</v>
      </c>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row>
    <row r="112" spans="1:194" ht="16.5" customHeight="1" x14ac:dyDescent="0.2">
      <c r="A112" s="1"/>
      <c r="E112" s="44"/>
      <c r="F112" s="44"/>
      <c r="G112" s="44"/>
      <c r="H112" s="44"/>
      <c r="I112" s="15"/>
      <c r="J112" s="15"/>
      <c r="K112" s="15"/>
      <c r="L112" s="15"/>
      <c r="M112" s="42"/>
      <c r="N112" s="42"/>
      <c r="O112" s="42"/>
      <c r="P112" s="42"/>
      <c r="Q112" s="42"/>
      <c r="R112" s="42"/>
      <c r="S112" s="42"/>
      <c r="T112" s="42"/>
      <c r="U112" s="42"/>
      <c r="V112" s="42"/>
      <c r="W112" s="42"/>
      <c r="X112" s="42"/>
      <c r="Y112" s="38">
        <v>55</v>
      </c>
      <c r="Z112" s="38">
        <f t="shared" si="22"/>
        <v>0.56234132519034929</v>
      </c>
      <c r="AA112" s="38">
        <f t="shared" si="27"/>
        <v>52.419220249158172</v>
      </c>
      <c r="AB112" s="38">
        <f t="shared" si="28"/>
        <v>-10.354900064622274</v>
      </c>
      <c r="AC112" s="38">
        <f t="shared" si="29"/>
        <v>-19.461152472485008</v>
      </c>
      <c r="AD112" s="38">
        <f t="shared" si="30"/>
        <v>99.61085783950621</v>
      </c>
      <c r="AE112" s="38">
        <f t="shared" si="23"/>
        <v>32.958067776673161</v>
      </c>
      <c r="AF112" s="38">
        <f t="shared" si="24"/>
        <v>89.255957774883939</v>
      </c>
      <c r="AH112" s="38">
        <v>55</v>
      </c>
      <c r="AI112" s="38">
        <f t="shared" si="31"/>
        <v>5.5000000000000005E-3</v>
      </c>
      <c r="AJ112" s="38">
        <f t="shared" si="32"/>
        <v>125.71220220006785</v>
      </c>
      <c r="AK112" s="38">
        <f t="shared" si="33"/>
        <v>1.0455935193945415E-5</v>
      </c>
      <c r="AL112" s="38">
        <f t="shared" si="34"/>
        <v>5.1981806367771283E-6</v>
      </c>
      <c r="AM112" s="38">
        <f t="shared" si="35"/>
        <v>95.639460407047778</v>
      </c>
      <c r="AN112" s="38">
        <f t="shared" si="36"/>
        <v>7.841951395459061E-6</v>
      </c>
      <c r="AO112" s="38">
        <f t="shared" si="37"/>
        <v>4.0182997151075173E-6</v>
      </c>
      <c r="AP112" s="38">
        <f t="shared" si="38"/>
        <v>120.03736729261497</v>
      </c>
      <c r="AQ112" s="38">
        <f t="shared" si="39"/>
        <v>5.2279675969727076E-6</v>
      </c>
      <c r="AR112" s="38">
        <f t="shared" si="40"/>
        <v>3.0743916176110218E-6</v>
      </c>
      <c r="AS112" s="38">
        <f t="shared" si="41"/>
        <v>136.70722923001836</v>
      </c>
      <c r="AT112" s="38">
        <f t="shared" si="42"/>
        <v>2.6139837984863538E-6</v>
      </c>
      <c r="AU112" s="38">
        <f t="shared" si="43"/>
        <v>2.34207346714069E-6</v>
      </c>
      <c r="AV112" s="38">
        <f t="shared" si="44"/>
        <v>117.7819748921075</v>
      </c>
      <c r="AW112" s="42"/>
      <c r="AX112" s="38">
        <v>46</v>
      </c>
      <c r="AY112" s="38">
        <f t="shared" si="45"/>
        <v>1.3856159603398071</v>
      </c>
      <c r="AZ112" s="38">
        <f t="shared" si="46"/>
        <v>2.391163092917479E-6</v>
      </c>
      <c r="BA112" s="38">
        <f t="shared" si="47"/>
        <v>1.3611795311518715E-6</v>
      </c>
      <c r="BB112" s="38">
        <f t="shared" si="48"/>
        <v>4.8711455078610173E-6</v>
      </c>
      <c r="BC112" s="38">
        <f t="shared" si="25"/>
        <v>2.9354501373297545E-6</v>
      </c>
      <c r="BD112" s="38">
        <f t="shared" si="26"/>
        <v>136.21906016539054</v>
      </c>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row>
    <row r="113" spans="1:194" ht="16.5" customHeight="1" x14ac:dyDescent="0.2">
      <c r="A113" s="1"/>
      <c r="E113" s="44"/>
      <c r="F113" s="44"/>
      <c r="G113" s="44"/>
      <c r="H113" s="44"/>
      <c r="I113" s="15"/>
      <c r="J113" s="15"/>
      <c r="K113" s="15"/>
      <c r="L113" s="15"/>
      <c r="M113" s="42"/>
      <c r="N113" s="42"/>
      <c r="O113" s="42"/>
      <c r="P113" s="42"/>
      <c r="Q113" s="42"/>
      <c r="R113" s="42"/>
      <c r="S113" s="42"/>
      <c r="T113" s="42"/>
      <c r="U113" s="42"/>
      <c r="V113" s="42"/>
      <c r="W113" s="42"/>
      <c r="X113" s="42"/>
      <c r="Y113" s="38">
        <v>56</v>
      </c>
      <c r="Z113" s="38">
        <f t="shared" si="22"/>
        <v>0.63095734448019325</v>
      </c>
      <c r="AA113" s="38">
        <f t="shared" si="27"/>
        <v>52.383040811732691</v>
      </c>
      <c r="AB113" s="38">
        <f t="shared" si="28"/>
        <v>-11.58601230472104</v>
      </c>
      <c r="AC113" s="38">
        <f t="shared" si="29"/>
        <v>-20.425162651065449</v>
      </c>
      <c r="AD113" s="38">
        <f t="shared" si="30"/>
        <v>100.75119534732181</v>
      </c>
      <c r="AE113" s="38">
        <f t="shared" si="23"/>
        <v>31.957878160667242</v>
      </c>
      <c r="AF113" s="38">
        <f t="shared" si="24"/>
        <v>89.165183042600773</v>
      </c>
      <c r="AH113" s="38">
        <v>56</v>
      </c>
      <c r="AI113" s="38">
        <f t="shared" si="31"/>
        <v>5.6000000000000008E-3</v>
      </c>
      <c r="AJ113" s="38">
        <f t="shared" si="32"/>
        <v>125.02475569140232</v>
      </c>
      <c r="AK113" s="38">
        <f t="shared" si="33"/>
        <v>1.039842063429261E-5</v>
      </c>
      <c r="AL113" s="38">
        <f t="shared" si="34"/>
        <v>5.1981806367771283E-6</v>
      </c>
      <c r="AM113" s="38">
        <f t="shared" si="35"/>
        <v>96.168450495465905</v>
      </c>
      <c r="AN113" s="38">
        <f t="shared" si="36"/>
        <v>7.7988154757194563E-6</v>
      </c>
      <c r="AO113" s="38">
        <f t="shared" si="37"/>
        <v>4.0189423480399034E-6</v>
      </c>
      <c r="AP113" s="38">
        <f t="shared" si="38"/>
        <v>120.66270686994613</v>
      </c>
      <c r="AQ113" s="38">
        <f t="shared" si="39"/>
        <v>5.1992103171463048E-6</v>
      </c>
      <c r="AR113" s="38">
        <f t="shared" si="40"/>
        <v>3.0766670792358066E-6</v>
      </c>
      <c r="AS113" s="38">
        <f t="shared" si="41"/>
        <v>137.26011175363087</v>
      </c>
      <c r="AT113" s="38">
        <f t="shared" si="42"/>
        <v>2.5996051585731524E-6</v>
      </c>
      <c r="AU113" s="38">
        <f t="shared" si="43"/>
        <v>2.3460589423819951E-6</v>
      </c>
      <c r="AV113" s="38">
        <f t="shared" si="44"/>
        <v>118.03139045449687</v>
      </c>
      <c r="AW113" s="42"/>
      <c r="AX113" s="38">
        <v>45</v>
      </c>
      <c r="AY113" s="38">
        <f t="shared" si="45"/>
        <v>1.3663634394628548</v>
      </c>
      <c r="AZ113" s="38">
        <f t="shared" si="46"/>
        <v>2.3391812865497079E-6</v>
      </c>
      <c r="BA113" s="38">
        <f t="shared" si="47"/>
        <v>1.4251503143321838E-6</v>
      </c>
      <c r="BB113" s="38">
        <f t="shared" si="48"/>
        <v>4.7652510402988224E-6</v>
      </c>
      <c r="BC113" s="38">
        <f t="shared" si="25"/>
        <v>2.9029088287066555E-6</v>
      </c>
      <c r="BD113" s="38">
        <f t="shared" si="26"/>
        <v>136.26213351971779</v>
      </c>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row>
    <row r="114" spans="1:194" ht="16.5" customHeight="1" x14ac:dyDescent="0.2">
      <c r="A114" s="1"/>
      <c r="E114" s="44"/>
      <c r="F114" s="44"/>
      <c r="G114" s="44"/>
      <c r="H114" s="44"/>
      <c r="I114" s="15"/>
      <c r="J114" s="15"/>
      <c r="K114" s="15"/>
      <c r="L114" s="15"/>
      <c r="M114" s="42"/>
      <c r="N114" s="42"/>
      <c r="O114" s="42"/>
      <c r="P114" s="42"/>
      <c r="Q114" s="42"/>
      <c r="R114" s="42"/>
      <c r="S114" s="42"/>
      <c r="T114" s="42"/>
      <c r="U114" s="42"/>
      <c r="V114" s="42"/>
      <c r="W114" s="42"/>
      <c r="X114" s="42"/>
      <c r="Y114" s="38">
        <v>57</v>
      </c>
      <c r="Z114" s="38">
        <f t="shared" si="22"/>
        <v>0.7079457843841388</v>
      </c>
      <c r="AA114" s="38">
        <f t="shared" si="27"/>
        <v>52.337918015973003</v>
      </c>
      <c r="AB114" s="38">
        <f t="shared" si="28"/>
        <v>-12.954498471959928</v>
      </c>
      <c r="AC114" s="38">
        <f t="shared" si="29"/>
        <v>-21.38027855594305</v>
      </c>
      <c r="AD114" s="38">
        <f t="shared" si="30"/>
        <v>102.01783560105416</v>
      </c>
      <c r="AE114" s="38">
        <f t="shared" si="23"/>
        <v>30.957639460029952</v>
      </c>
      <c r="AF114" s="38">
        <f t="shared" si="24"/>
        <v>89.063337129094236</v>
      </c>
      <c r="AH114" s="38">
        <v>57</v>
      </c>
      <c r="AI114" s="38">
        <f t="shared" si="31"/>
        <v>5.6999999999999993E-3</v>
      </c>
      <c r="AJ114" s="38">
        <f t="shared" si="32"/>
        <v>124.21392484329107</v>
      </c>
      <c r="AK114" s="38">
        <f t="shared" si="33"/>
        <v>1.0331391273439933E-5</v>
      </c>
      <c r="AL114" s="38">
        <f t="shared" si="34"/>
        <v>5.1981806367771283E-6</v>
      </c>
      <c r="AM114" s="38">
        <f t="shared" si="35"/>
        <v>96.79238483308751</v>
      </c>
      <c r="AN114" s="38">
        <f t="shared" si="36"/>
        <v>7.7485434550799483E-6</v>
      </c>
      <c r="AO114" s="38">
        <f t="shared" si="37"/>
        <v>4.0197000656937068E-6</v>
      </c>
      <c r="AP114" s="38">
        <f t="shared" si="38"/>
        <v>121.39977735628815</v>
      </c>
      <c r="AQ114" s="38">
        <f t="shared" si="39"/>
        <v>5.1656956367199664E-6</v>
      </c>
      <c r="AR114" s="38">
        <f t="shared" si="40"/>
        <v>3.0793472062552151E-6</v>
      </c>
      <c r="AS114" s="38">
        <f t="shared" si="41"/>
        <v>137.91027026343576</v>
      </c>
      <c r="AT114" s="38">
        <f t="shared" si="42"/>
        <v>2.5828478183599832E-6</v>
      </c>
      <c r="AU114" s="38">
        <f t="shared" si="43"/>
        <v>2.3507477364668407E-6</v>
      </c>
      <c r="AV114" s="38">
        <f t="shared" si="44"/>
        <v>118.32373774990906</v>
      </c>
      <c r="AW114" s="42"/>
      <c r="AX114" s="38">
        <v>44</v>
      </c>
      <c r="AY114" s="38">
        <f t="shared" si="45"/>
        <v>1.3471109185859023</v>
      </c>
      <c r="AZ114" s="38">
        <f t="shared" si="46"/>
        <v>2.287199480181936E-6</v>
      </c>
      <c r="BA114" s="38">
        <f t="shared" si="47"/>
        <v>1.4920288603843299E-6</v>
      </c>
      <c r="BB114" s="38">
        <f t="shared" si="48"/>
        <v>4.659356572736625E-6</v>
      </c>
      <c r="BC114" s="38">
        <f t="shared" si="25"/>
        <v>2.8707338415707352E-6</v>
      </c>
      <c r="BD114" s="38">
        <f t="shared" si="26"/>
        <v>136.23737958788655</v>
      </c>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row>
    <row r="115" spans="1:194" ht="16.5" customHeight="1" x14ac:dyDescent="0.2">
      <c r="A115" s="1"/>
      <c r="E115" s="44"/>
      <c r="F115" s="44"/>
      <c r="G115" s="44"/>
      <c r="H115" s="44"/>
      <c r="I115" s="15"/>
      <c r="J115" s="15"/>
      <c r="K115" s="15"/>
      <c r="L115" s="15"/>
      <c r="M115" s="42"/>
      <c r="N115" s="42"/>
      <c r="O115" s="42"/>
      <c r="P115" s="42"/>
      <c r="Q115" s="42"/>
      <c r="R115" s="42"/>
      <c r="S115" s="42"/>
      <c r="T115" s="42"/>
      <c r="U115" s="42"/>
      <c r="V115" s="42"/>
      <c r="W115" s="42"/>
      <c r="X115" s="42"/>
      <c r="Y115" s="38">
        <v>58</v>
      </c>
      <c r="Z115" s="38">
        <f t="shared" si="22"/>
        <v>0.79432823472428205</v>
      </c>
      <c r="AA115" s="38">
        <f t="shared" si="27"/>
        <v>52.28177038874496</v>
      </c>
      <c r="AB115" s="38">
        <f t="shared" si="28"/>
        <v>-14.472200053953289</v>
      </c>
      <c r="AC115" s="38">
        <f t="shared" si="29"/>
        <v>-22.324431416359321</v>
      </c>
      <c r="AD115" s="38">
        <f t="shared" si="30"/>
        <v>103.42127126645646</v>
      </c>
      <c r="AE115" s="38">
        <f t="shared" si="23"/>
        <v>29.957338972385639</v>
      </c>
      <c r="AF115" s="38">
        <f t="shared" si="24"/>
        <v>88.949071212503171</v>
      </c>
      <c r="AH115" s="38">
        <v>58</v>
      </c>
      <c r="AI115" s="38">
        <f t="shared" si="31"/>
        <v>5.7999999999999996E-3</v>
      </c>
      <c r="AJ115" s="38">
        <f t="shared" si="32"/>
        <v>123.28050984788835</v>
      </c>
      <c r="AK115" s="38">
        <f t="shared" si="33"/>
        <v>1.0255290308020756E-5</v>
      </c>
      <c r="AL115" s="38">
        <f t="shared" si="34"/>
        <v>5.1981806367771283E-6</v>
      </c>
      <c r="AM115" s="38">
        <f t="shared" si="35"/>
        <v>97.510647672049899</v>
      </c>
      <c r="AN115" s="38">
        <f t="shared" si="36"/>
        <v>7.691467731015565E-6</v>
      </c>
      <c r="AO115" s="38">
        <f t="shared" si="37"/>
        <v>4.0205719944420546E-6</v>
      </c>
      <c r="AP115" s="38">
        <f t="shared" si="38"/>
        <v>122.24760299513177</v>
      </c>
      <c r="AQ115" s="38">
        <f t="shared" si="39"/>
        <v>5.1276451540103778E-6</v>
      </c>
      <c r="AR115" s="38">
        <f t="shared" si="40"/>
        <v>3.0824275353248803E-6</v>
      </c>
      <c r="AS115" s="38">
        <f t="shared" si="41"/>
        <v>138.6561153235009</v>
      </c>
      <c r="AT115" s="38">
        <f t="shared" si="42"/>
        <v>2.5638225770051889E-6</v>
      </c>
      <c r="AU115" s="38">
        <f t="shared" si="43"/>
        <v>2.3561294452837914E-6</v>
      </c>
      <c r="AV115" s="38">
        <f t="shared" si="44"/>
        <v>118.65785422296341</v>
      </c>
      <c r="AW115" s="42"/>
      <c r="AX115" s="38">
        <v>43</v>
      </c>
      <c r="AY115" s="38">
        <f t="shared" si="45"/>
        <v>1.3278583977089502</v>
      </c>
      <c r="AZ115" s="38">
        <f t="shared" si="46"/>
        <v>2.2352176738141654E-6</v>
      </c>
      <c r="BA115" s="38">
        <f t="shared" si="47"/>
        <v>1.5620180364854109E-6</v>
      </c>
      <c r="BB115" s="38">
        <f t="shared" si="48"/>
        <v>4.5534621051744301E-6</v>
      </c>
      <c r="BC115" s="38">
        <f t="shared" si="25"/>
        <v>2.838929124110101E-6</v>
      </c>
      <c r="BD115" s="38">
        <f t="shared" si="26"/>
        <v>136.1409630551762</v>
      </c>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row>
    <row r="116" spans="1:194" ht="16.5" customHeight="1" x14ac:dyDescent="0.2">
      <c r="A116" s="1"/>
      <c r="E116" s="44"/>
      <c r="F116" s="44"/>
      <c r="G116" s="44"/>
      <c r="H116" s="44"/>
      <c r="I116" s="15"/>
      <c r="J116" s="15"/>
      <c r="K116" s="15"/>
      <c r="L116" s="15"/>
      <c r="M116" s="42"/>
      <c r="N116" s="42"/>
      <c r="O116" s="42"/>
      <c r="P116" s="42"/>
      <c r="Q116" s="42"/>
      <c r="R116" s="42"/>
      <c r="S116" s="42"/>
      <c r="T116" s="42"/>
      <c r="U116" s="42"/>
      <c r="V116" s="42"/>
      <c r="W116" s="42"/>
      <c r="X116" s="42"/>
      <c r="Y116" s="38">
        <v>59</v>
      </c>
      <c r="Z116" s="38">
        <f t="shared" si="22"/>
        <v>0.89125093813374656</v>
      </c>
      <c r="AA116" s="38">
        <f t="shared" si="27"/>
        <v>52.212101489401249</v>
      </c>
      <c r="AB116" s="38">
        <f t="shared" si="28"/>
        <v>-16.150644181291412</v>
      </c>
      <c r="AC116" s="38">
        <f t="shared" si="29"/>
        <v>-23.255140778986902</v>
      </c>
      <c r="AD116" s="38">
        <f t="shared" si="30"/>
        <v>104.9715169230177</v>
      </c>
      <c r="AE116" s="38">
        <f t="shared" si="23"/>
        <v>28.956960710414346</v>
      </c>
      <c r="AF116" s="38">
        <f t="shared" si="24"/>
        <v>88.820872741726291</v>
      </c>
      <c r="AH116" s="38">
        <v>59</v>
      </c>
      <c r="AI116" s="38">
        <f t="shared" si="31"/>
        <v>5.8999999999999999E-3</v>
      </c>
      <c r="AJ116" s="38">
        <f t="shared" si="32"/>
        <v>122.2254318731021</v>
      </c>
      <c r="AK116" s="38">
        <f t="shared" si="33"/>
        <v>1.0170608895376217E-5</v>
      </c>
      <c r="AL116" s="38">
        <f t="shared" si="34"/>
        <v>5.1981806367771283E-6</v>
      </c>
      <c r="AM116" s="38">
        <f t="shared" si="35"/>
        <v>98.32253017364792</v>
      </c>
      <c r="AN116" s="38">
        <f t="shared" si="36"/>
        <v>7.6279566715321609E-6</v>
      </c>
      <c r="AO116" s="38">
        <f t="shared" si="37"/>
        <v>4.0215571302183082E-6</v>
      </c>
      <c r="AP116" s="38">
        <f t="shared" si="38"/>
        <v>123.20506389212429</v>
      </c>
      <c r="AQ116" s="38">
        <f t="shared" si="39"/>
        <v>5.0853044476881084E-6</v>
      </c>
      <c r="AR116" s="38">
        <f t="shared" si="40"/>
        <v>3.08590296479375E-6</v>
      </c>
      <c r="AS116" s="38">
        <f t="shared" si="41"/>
        <v>139.49583895749458</v>
      </c>
      <c r="AT116" s="38">
        <f t="shared" si="42"/>
        <v>2.5426522238440542E-6</v>
      </c>
      <c r="AU116" s="38">
        <f t="shared" si="43"/>
        <v>2.362192251950758E-6</v>
      </c>
      <c r="AV116" s="38">
        <f t="shared" si="44"/>
        <v>119.03243216361116</v>
      </c>
      <c r="AW116" s="42"/>
      <c r="AX116" s="38">
        <v>42</v>
      </c>
      <c r="AY116" s="38">
        <f t="shared" si="45"/>
        <v>1.3086058768319977</v>
      </c>
      <c r="AZ116" s="38">
        <f t="shared" si="46"/>
        <v>2.1832358674463939E-6</v>
      </c>
      <c r="BA116" s="38">
        <f t="shared" si="47"/>
        <v>1.6353400304960691E-6</v>
      </c>
      <c r="BB116" s="38">
        <f t="shared" si="48"/>
        <v>4.4475676376122327E-6</v>
      </c>
      <c r="BC116" s="38">
        <f t="shared" si="25"/>
        <v>2.8074984400160065E-6</v>
      </c>
      <c r="BD116" s="38">
        <f t="shared" si="26"/>
        <v>135.96893830127289</v>
      </c>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row>
    <row r="117" spans="1:194" ht="16.5" customHeight="1" x14ac:dyDescent="0.2">
      <c r="A117" s="1"/>
      <c r="E117" s="44"/>
      <c r="F117" s="44"/>
      <c r="G117" s="44"/>
      <c r="H117" s="44"/>
      <c r="I117" s="15"/>
      <c r="J117" s="15"/>
      <c r="K117" s="15"/>
      <c r="L117" s="15"/>
      <c r="M117" s="42"/>
      <c r="N117" s="42"/>
      <c r="O117" s="42"/>
      <c r="P117" s="42"/>
      <c r="Q117" s="42"/>
      <c r="R117" s="42"/>
      <c r="S117" s="42"/>
      <c r="T117" s="42"/>
      <c r="U117" s="42"/>
      <c r="V117" s="42"/>
      <c r="W117" s="42"/>
      <c r="X117" s="42"/>
      <c r="Y117" s="38">
        <v>60</v>
      </c>
      <c r="Z117" s="38">
        <f t="shared" si="22"/>
        <v>1</v>
      </c>
      <c r="AA117" s="38">
        <f t="shared" si="27"/>
        <v>52.125953402666795</v>
      </c>
      <c r="AB117" s="38">
        <f t="shared" si="28"/>
        <v>-18.000463763063891</v>
      </c>
      <c r="AC117" s="38">
        <f t="shared" si="29"/>
        <v>-24.169468849019115</v>
      </c>
      <c r="AD117" s="38">
        <f t="shared" si="30"/>
        <v>106.67750957246753</v>
      </c>
      <c r="AE117" s="38">
        <f t="shared" si="23"/>
        <v>27.95648455364768</v>
      </c>
      <c r="AF117" s="38">
        <f t="shared" si="24"/>
        <v>88.677045809403637</v>
      </c>
      <c r="AH117" s="38">
        <v>60</v>
      </c>
      <c r="AI117" s="38">
        <f t="shared" si="31"/>
        <v>6.0000000000000001E-3</v>
      </c>
      <c r="AJ117" s="38">
        <f t="shared" si="32"/>
        <v>121.04973215351232</v>
      </c>
      <c r="AK117" s="38">
        <f t="shared" si="33"/>
        <v>1.0077878711670151E-5</v>
      </c>
      <c r="AL117" s="38">
        <f t="shared" si="34"/>
        <v>5.1981806367771283E-6</v>
      </c>
      <c r="AM117" s="38">
        <f t="shared" si="35"/>
        <v>99.227231107872257</v>
      </c>
      <c r="AN117" s="38">
        <f t="shared" si="36"/>
        <v>7.5584090337526112E-6</v>
      </c>
      <c r="AO117" s="38">
        <f t="shared" si="37"/>
        <v>4.0226543401888668E-6</v>
      </c>
      <c r="AP117" s="38">
        <f t="shared" si="38"/>
        <v>124.27089852450983</v>
      </c>
      <c r="AQ117" s="38">
        <f t="shared" si="39"/>
        <v>5.0389393558350753E-6</v>
      </c>
      <c r="AR117" s="38">
        <f t="shared" si="40"/>
        <v>3.0897677745035999E-6</v>
      </c>
      <c r="AS117" s="38">
        <f t="shared" si="41"/>
        <v>140.42742516320948</v>
      </c>
      <c r="AT117" s="38">
        <f t="shared" si="42"/>
        <v>2.5194696779175376E-6</v>
      </c>
      <c r="AU117" s="38">
        <f t="shared" si="43"/>
        <v>2.368923001296247E-6</v>
      </c>
      <c r="AV117" s="38">
        <f t="shared" si="44"/>
        <v>119.44603175194953</v>
      </c>
      <c r="AW117" s="42"/>
      <c r="AX117" s="38">
        <v>41</v>
      </c>
      <c r="AY117" s="38">
        <f t="shared" si="45"/>
        <v>1.2893533559550452</v>
      </c>
      <c r="AZ117" s="38">
        <f t="shared" si="46"/>
        <v>2.131254061078622E-6</v>
      </c>
      <c r="BA117" s="38">
        <f t="shared" si="47"/>
        <v>1.7122387071413937E-6</v>
      </c>
      <c r="BB117" s="38">
        <f t="shared" si="48"/>
        <v>4.3416731700500361E-6</v>
      </c>
      <c r="BC117" s="38">
        <f t="shared" si="25"/>
        <v>2.7764453571629424E-6</v>
      </c>
      <c r="BD117" s="38">
        <f t="shared" si="26"/>
        <v>135.71725240509303</v>
      </c>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row>
    <row r="118" spans="1:194" ht="16.5" customHeight="1" x14ac:dyDescent="0.2">
      <c r="A118" s="1"/>
      <c r="E118" s="44"/>
      <c r="F118" s="44"/>
      <c r="G118" s="44"/>
      <c r="H118" s="44"/>
      <c r="I118" s="15"/>
      <c r="J118" s="15"/>
      <c r="K118" s="15"/>
      <c r="L118" s="15"/>
      <c r="M118" s="42"/>
      <c r="N118" s="42"/>
      <c r="O118" s="42"/>
      <c r="P118" s="42"/>
      <c r="Q118" s="42"/>
      <c r="R118" s="42"/>
      <c r="S118" s="42"/>
      <c r="T118" s="42"/>
      <c r="U118" s="42"/>
      <c r="V118" s="42"/>
      <c r="W118" s="42"/>
      <c r="X118" s="42"/>
      <c r="Y118" s="38">
        <v>61</v>
      </c>
      <c r="Z118" s="38">
        <f t="shared" si="22"/>
        <v>1.1220184543019636</v>
      </c>
      <c r="AA118" s="38">
        <f t="shared" si="27"/>
        <v>52.019874115629264</v>
      </c>
      <c r="AB118" s="38">
        <f t="shared" si="28"/>
        <v>-20.030638570664287</v>
      </c>
      <c r="AC118" s="38">
        <f t="shared" si="29"/>
        <v>-25.063988933613356</v>
      </c>
      <c r="AD118" s="38">
        <f t="shared" si="30"/>
        <v>108.54632784512066</v>
      </c>
      <c r="AE118" s="38">
        <f t="shared" si="23"/>
        <v>26.955885182015908</v>
      </c>
      <c r="AF118" s="38">
        <f t="shared" si="24"/>
        <v>88.515689274456378</v>
      </c>
      <c r="AH118" s="38">
        <v>61</v>
      </c>
      <c r="AI118" s="38">
        <f t="shared" si="31"/>
        <v>6.0999999999999995E-3</v>
      </c>
      <c r="AJ118" s="38">
        <f t="shared" si="32"/>
        <v>119.7545709627983</v>
      </c>
      <c r="AK118" s="38">
        <f t="shared" si="33"/>
        <v>9.9776642359026374E-6</v>
      </c>
      <c r="AL118" s="38">
        <f t="shared" si="34"/>
        <v>5.1981806367771283E-6</v>
      </c>
      <c r="AM118" s="38">
        <f t="shared" si="35"/>
        <v>100.2238576441267</v>
      </c>
      <c r="AN118" s="38">
        <f t="shared" si="36"/>
        <v>7.4832481769269768E-6</v>
      </c>
      <c r="AO118" s="38">
        <f t="shared" si="37"/>
        <v>4.0238623646317951E-6</v>
      </c>
      <c r="AP118" s="38">
        <f t="shared" si="38"/>
        <v>125.4437065506358</v>
      </c>
      <c r="AQ118" s="38">
        <f t="shared" si="39"/>
        <v>4.9888321179513187E-6</v>
      </c>
      <c r="AR118" s="38">
        <f t="shared" si="40"/>
        <v>3.0940156476381568E-6</v>
      </c>
      <c r="AS118" s="38">
        <f t="shared" si="41"/>
        <v>141.44866143459609</v>
      </c>
      <c r="AT118" s="38">
        <f t="shared" si="42"/>
        <v>2.4944160589756594E-6</v>
      </c>
      <c r="AU118" s="38">
        <f t="shared" si="43"/>
        <v>2.3763072805462636E-6</v>
      </c>
      <c r="AV118" s="38">
        <f t="shared" si="44"/>
        <v>119.89709499100995</v>
      </c>
      <c r="AW118" s="42"/>
      <c r="AX118" s="38">
        <v>40</v>
      </c>
      <c r="AY118" s="38">
        <f t="shared" si="45"/>
        <v>1.2701008350780931</v>
      </c>
      <c r="AZ118" s="38">
        <f t="shared" si="46"/>
        <v>2.0792722547108513E-6</v>
      </c>
      <c r="BA118" s="38">
        <f t="shared" si="47"/>
        <v>1.7929823176189826E-6</v>
      </c>
      <c r="BB118" s="38">
        <f t="shared" si="48"/>
        <v>4.2357787024878412E-6</v>
      </c>
      <c r="BC118" s="38">
        <f t="shared" si="25"/>
        <v>2.7457732366299193E-6</v>
      </c>
      <c r="BD118" s="38">
        <f t="shared" si="26"/>
        <v>135.38174867328161</v>
      </c>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row>
    <row r="119" spans="1:194" ht="16.5" customHeight="1" x14ac:dyDescent="0.2">
      <c r="A119" s="1"/>
      <c r="E119" s="44"/>
      <c r="F119" s="44"/>
      <c r="G119" s="44"/>
      <c r="H119" s="44"/>
      <c r="I119" s="15"/>
      <c r="J119" s="15"/>
      <c r="K119" s="15"/>
      <c r="L119" s="15"/>
      <c r="M119" s="42"/>
      <c r="N119" s="42"/>
      <c r="O119" s="42"/>
      <c r="P119" s="42"/>
      <c r="Q119" s="42"/>
      <c r="R119" s="42"/>
      <c r="S119" s="42"/>
      <c r="T119" s="42"/>
      <c r="U119" s="42"/>
      <c r="V119" s="42"/>
      <c r="W119" s="42"/>
      <c r="X119" s="42"/>
      <c r="Y119" s="38">
        <v>62</v>
      </c>
      <c r="Z119" s="38">
        <f t="shared" si="22"/>
        <v>1.2589254117941679</v>
      </c>
      <c r="AA119" s="38">
        <f t="shared" si="27"/>
        <v>51.889910130546767</v>
      </c>
      <c r="AB119" s="38">
        <f t="shared" si="28"/>
        <v>-22.24755212782226</v>
      </c>
      <c r="AC119" s="38">
        <f t="shared" si="29"/>
        <v>-25.934779395108549</v>
      </c>
      <c r="AD119" s="38">
        <f t="shared" si="30"/>
        <v>110.58222454670029</v>
      </c>
      <c r="AE119" s="38">
        <f t="shared" si="23"/>
        <v>25.955130735438217</v>
      </c>
      <c r="AF119" s="38">
        <f t="shared" si="24"/>
        <v>88.334672418878029</v>
      </c>
      <c r="AH119" s="38">
        <v>62</v>
      </c>
      <c r="AI119" s="38">
        <f t="shared" si="31"/>
        <v>6.1999999999999998E-3</v>
      </c>
      <c r="AJ119" s="38">
        <f t="shared" si="32"/>
        <v>118.34122646868856</v>
      </c>
      <c r="AK119" s="38">
        <f t="shared" si="33"/>
        <v>9.8705549530675275E-6</v>
      </c>
      <c r="AL119" s="38">
        <f t="shared" si="34"/>
        <v>5.1981806367771283E-6</v>
      </c>
      <c r="AM119" s="38">
        <f t="shared" si="35"/>
        <v>101.31142623234415</v>
      </c>
      <c r="AN119" s="38">
        <f t="shared" si="36"/>
        <v>7.402916214800644E-6</v>
      </c>
      <c r="AO119" s="38">
        <f t="shared" si="37"/>
        <v>4.0251798190150973E-6</v>
      </c>
      <c r="AP119" s="38">
        <f t="shared" si="38"/>
        <v>126.7219519071537</v>
      </c>
      <c r="AQ119" s="38">
        <f t="shared" si="39"/>
        <v>4.9352774765337638E-6</v>
      </c>
      <c r="AR119" s="38">
        <f t="shared" si="40"/>
        <v>3.0986396944234356E-6</v>
      </c>
      <c r="AS119" s="38">
        <f t="shared" si="41"/>
        <v>142.5571511608874</v>
      </c>
      <c r="AT119" s="38">
        <f t="shared" si="42"/>
        <v>2.4676387382668819E-6</v>
      </c>
      <c r="AU119" s="38">
        <f t="shared" si="43"/>
        <v>2.3843295050581924E-6</v>
      </c>
      <c r="AV119" s="38">
        <f t="shared" si="44"/>
        <v>120.38396027264479</v>
      </c>
      <c r="AW119" s="42"/>
      <c r="AX119" s="38">
        <v>39</v>
      </c>
      <c r="AY119" s="38">
        <f t="shared" si="45"/>
        <v>1.2508483142011406</v>
      </c>
      <c r="AZ119" s="38">
        <f t="shared" si="46"/>
        <v>2.0272904483430798E-6</v>
      </c>
      <c r="BA119" s="38">
        <f t="shared" si="47"/>
        <v>1.8778666260697829E-6</v>
      </c>
      <c r="BB119" s="38">
        <f t="shared" si="48"/>
        <v>4.1298842349256446E-6</v>
      </c>
      <c r="BC119" s="38">
        <f t="shared" si="25"/>
        <v>2.7154852221362123E-6</v>
      </c>
      <c r="BD119" s="38">
        <f t="shared" si="26"/>
        <v>134.95817069777178</v>
      </c>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row>
    <row r="120" spans="1:194" ht="16.5" customHeight="1" x14ac:dyDescent="0.2">
      <c r="A120" s="1"/>
      <c r="E120" s="44"/>
      <c r="F120" s="44"/>
      <c r="G120" s="44"/>
      <c r="H120" s="44"/>
      <c r="I120" s="15"/>
      <c r="J120" s="15"/>
      <c r="K120" s="15"/>
      <c r="L120" s="15"/>
      <c r="M120" s="42"/>
      <c r="N120" s="42"/>
      <c r="O120" s="42"/>
      <c r="P120" s="42"/>
      <c r="Q120" s="42"/>
      <c r="R120" s="42"/>
      <c r="S120" s="42"/>
      <c r="T120" s="42"/>
      <c r="U120" s="42"/>
      <c r="V120" s="42"/>
      <c r="W120" s="42"/>
      <c r="X120" s="42"/>
      <c r="Y120" s="38">
        <v>63</v>
      </c>
      <c r="Z120" s="38">
        <f t="shared" si="22"/>
        <v>1.4125375446227546</v>
      </c>
      <c r="AA120" s="38">
        <f t="shared" si="27"/>
        <v>51.731638380349374</v>
      </c>
      <c r="AB120" s="38">
        <f t="shared" si="28"/>
        <v>-24.653888213823841</v>
      </c>
      <c r="AC120" s="38">
        <f t="shared" si="29"/>
        <v>-26.777457250561092</v>
      </c>
      <c r="AD120" s="38">
        <f t="shared" si="30"/>
        <v>112.78549613525733</v>
      </c>
      <c r="AE120" s="38">
        <f t="shared" si="23"/>
        <v>24.954181129788282</v>
      </c>
      <c r="AF120" s="38">
        <f t="shared" si="24"/>
        <v>88.131607921433499</v>
      </c>
      <c r="AH120" s="38">
        <v>63</v>
      </c>
      <c r="AI120" s="38">
        <f t="shared" si="31"/>
        <v>6.3E-3</v>
      </c>
      <c r="AJ120" s="38">
        <f t="shared" si="32"/>
        <v>116.81109347156365</v>
      </c>
      <c r="AK120" s="38">
        <f t="shared" si="33"/>
        <v>9.7571576572469579E-6</v>
      </c>
      <c r="AL120" s="38">
        <f t="shared" si="34"/>
        <v>5.1981806367771283E-6</v>
      </c>
      <c r="AM120" s="38">
        <f t="shared" si="35"/>
        <v>102.48886357363176</v>
      </c>
      <c r="AN120" s="38">
        <f t="shared" si="36"/>
        <v>7.317868242935218E-6</v>
      </c>
      <c r="AO120" s="38">
        <f t="shared" si="37"/>
        <v>4.0266051962678186E-6</v>
      </c>
      <c r="AP120" s="38">
        <f t="shared" si="38"/>
        <v>128.10396618041048</v>
      </c>
      <c r="AQ120" s="38">
        <f t="shared" si="39"/>
        <v>4.878578828623479E-6</v>
      </c>
      <c r="AR120" s="38">
        <f t="shared" si="40"/>
        <v>3.1036324774699502E-6</v>
      </c>
      <c r="AS120" s="38">
        <f t="shared" si="41"/>
        <v>143.75032676637241</v>
      </c>
      <c r="AT120" s="38">
        <f t="shared" si="42"/>
        <v>2.4392894143117395E-6</v>
      </c>
      <c r="AU120" s="38">
        <f t="shared" si="43"/>
        <v>2.3929730079271938E-6</v>
      </c>
      <c r="AV120" s="38">
        <f t="shared" si="44"/>
        <v>120.90487732354373</v>
      </c>
      <c r="AW120" s="42"/>
      <c r="AX120" s="38">
        <v>38</v>
      </c>
      <c r="AY120" s="38">
        <f t="shared" si="45"/>
        <v>1.2315957933241886</v>
      </c>
      <c r="AZ120" s="38">
        <f t="shared" si="46"/>
        <v>1.9753086419753092E-6</v>
      </c>
      <c r="BA120" s="38">
        <f t="shared" si="47"/>
        <v>1.9672185297022024E-6</v>
      </c>
      <c r="BB120" s="38">
        <f t="shared" si="48"/>
        <v>4.0239897673634497E-6</v>
      </c>
      <c r="BC120" s="38">
        <f t="shared" si="25"/>
        <v>2.6855842299644347E-6</v>
      </c>
      <c r="BD120" s="38">
        <f t="shared" si="26"/>
        <v>134.44216694368623</v>
      </c>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row>
    <row r="121" spans="1:194" ht="16.5" customHeight="1" x14ac:dyDescent="0.2">
      <c r="A121" s="1"/>
      <c r="E121" s="44"/>
      <c r="F121" s="44"/>
      <c r="G121" s="44"/>
      <c r="H121" s="44"/>
      <c r="I121" s="15"/>
      <c r="J121" s="15"/>
      <c r="K121" s="15"/>
      <c r="L121" s="15"/>
      <c r="M121" s="42"/>
      <c r="N121" s="42"/>
      <c r="O121" s="42"/>
      <c r="P121" s="42"/>
      <c r="Q121" s="42"/>
      <c r="R121" s="42"/>
      <c r="S121" s="42"/>
      <c r="T121" s="42"/>
      <c r="U121" s="42"/>
      <c r="V121" s="42"/>
      <c r="W121" s="42"/>
      <c r="X121" s="42"/>
      <c r="Y121" s="38">
        <v>64</v>
      </c>
      <c r="Z121" s="38">
        <f t="shared" si="22"/>
        <v>1.5848931924611156</v>
      </c>
      <c r="AA121" s="38">
        <f t="shared" si="27"/>
        <v>51.540252706572296</v>
      </c>
      <c r="AB121" s="38">
        <f t="shared" si="28"/>
        <v>-27.247434802734073</v>
      </c>
      <c r="AC121" s="38">
        <f t="shared" si="29"/>
        <v>-27.587266764304299</v>
      </c>
      <c r="AD121" s="38">
        <f t="shared" si="30"/>
        <v>115.15125674119543</v>
      </c>
      <c r="AE121" s="38">
        <f t="shared" si="23"/>
        <v>23.952985942267997</v>
      </c>
      <c r="AF121" s="38">
        <f t="shared" si="24"/>
        <v>87.903821938461348</v>
      </c>
      <c r="AH121" s="38">
        <v>64</v>
      </c>
      <c r="AI121" s="38">
        <f t="shared" si="31"/>
        <v>6.4000000000000003E-3</v>
      </c>
      <c r="AJ121" s="38">
        <f t="shared" si="32"/>
        <v>115.16568202795651</v>
      </c>
      <c r="AK121" s="38">
        <f t="shared" si="33"/>
        <v>9.6380890172465547E-6</v>
      </c>
      <c r="AL121" s="38">
        <f t="shared" si="34"/>
        <v>5.1981806367771283E-6</v>
      </c>
      <c r="AM121" s="38">
        <f t="shared" si="35"/>
        <v>103.75500767948746</v>
      </c>
      <c r="AN121" s="38">
        <f t="shared" si="36"/>
        <v>7.2285667629349152E-6</v>
      </c>
      <c r="AO121" s="38">
        <f t="shared" si="37"/>
        <v>4.028136869236646E-6</v>
      </c>
      <c r="AP121" s="38">
        <f t="shared" si="38"/>
        <v>129.58795223749942</v>
      </c>
      <c r="AQ121" s="38">
        <f t="shared" si="39"/>
        <v>4.8190445086232774E-6</v>
      </c>
      <c r="AR121" s="38">
        <f t="shared" si="40"/>
        <v>3.108986038539752E-6</v>
      </c>
      <c r="AS121" s="38">
        <f t="shared" si="41"/>
        <v>145.0254634507813</v>
      </c>
      <c r="AT121" s="38">
        <f t="shared" si="42"/>
        <v>2.4095222543116387E-6</v>
      </c>
      <c r="AU121" s="38">
        <f t="shared" si="43"/>
        <v>2.4022201323018222E-6</v>
      </c>
      <c r="AV121" s="38">
        <f t="shared" si="44"/>
        <v>121.4580222869802</v>
      </c>
      <c r="AW121" s="42"/>
      <c r="AX121" s="38">
        <v>37</v>
      </c>
      <c r="AY121" s="38">
        <f t="shared" si="45"/>
        <v>1.2123432724472361</v>
      </c>
      <c r="AZ121" s="38">
        <f t="shared" si="46"/>
        <v>1.9233268356075373E-6</v>
      </c>
      <c r="BA121" s="38">
        <f t="shared" si="47"/>
        <v>2.0614002659634033E-6</v>
      </c>
      <c r="BB121" s="38">
        <f t="shared" si="48"/>
        <v>3.9180952998012532E-6</v>
      </c>
      <c r="BC121" s="38">
        <f t="shared" si="25"/>
        <v>2.6560729394425087E-6</v>
      </c>
      <c r="BD121" s="38">
        <f t="shared" si="26"/>
        <v>133.82929586451147</v>
      </c>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row>
    <row r="122" spans="1:194" ht="16.5" customHeight="1" x14ac:dyDescent="0.2">
      <c r="A122" s="1"/>
      <c r="E122" s="44"/>
      <c r="F122" s="44"/>
      <c r="G122" s="44"/>
      <c r="H122" s="44"/>
      <c r="I122" s="15"/>
      <c r="J122" s="15"/>
      <c r="K122" s="15"/>
      <c r="L122" s="15"/>
      <c r="M122" s="42"/>
      <c r="N122" s="42"/>
      <c r="O122" s="42"/>
      <c r="P122" s="42"/>
      <c r="Q122" s="42"/>
      <c r="R122" s="42"/>
      <c r="S122" s="42"/>
      <c r="T122" s="42"/>
      <c r="U122" s="42"/>
      <c r="V122" s="42"/>
      <c r="W122" s="42"/>
      <c r="X122" s="42"/>
      <c r="Y122" s="38">
        <v>65</v>
      </c>
      <c r="Z122" s="38">
        <f t="shared" si="22"/>
        <v>1.7782794100389245</v>
      </c>
      <c r="AA122" s="38">
        <f t="shared" ref="AA122:AA153" si="49">20*LOG10(G_o/SQRT(1+(Z122/f_p)^2))</f>
        <v>51.310718185749316</v>
      </c>
      <c r="AB122" s="38">
        <f t="shared" ref="AB122:AB153" si="50">180/PI()*-(ATAN(Z122/f_p))</f>
        <v>-30.019919886877979</v>
      </c>
      <c r="AC122" s="38">
        <f t="shared" ref="AC122:AC153" si="51">-20*LOG10(Z122/f_o)+20*LOG10(SQRT(1+(Z122/f_z)^2))-20*LOG10(SQRT(1+(Z122/f_p2)^2))</f>
        <v>-28.359236427881598</v>
      </c>
      <c r="AD122" s="38">
        <f t="shared" ref="AD122:AD153" si="52">-90+(180/PI())*ATAN(Z122/f_z)-(180/PI())*ATAN(Z122/f_p2)+180</f>
        <v>117.66824099105374</v>
      </c>
      <c r="AE122" s="38">
        <f t="shared" si="23"/>
        <v>22.951481757867718</v>
      </c>
      <c r="AF122" s="38">
        <f t="shared" si="24"/>
        <v>87.64832110417575</v>
      </c>
      <c r="AH122" s="38">
        <v>65</v>
      </c>
      <c r="AI122" s="38">
        <f t="shared" ref="AI122:AI153" si="53">AH122/100/fline.sim/2</f>
        <v>6.5000000000000006E-3</v>
      </c>
      <c r="AJ122" s="38">
        <f t="shared" ref="AJ122:AJ153" si="54">Vline.sim*2^0.5*SIN(2*PI()*fline.sim*AI122)</f>
        <v>113.40661596030907</v>
      </c>
      <c r="AK122" s="38">
        <f t="shared" ref="AK122:AK157" si="55">ton.con1*Vout.sim/(Vout.sim-$AJ122)</f>
        <v>9.513968544894267E-6</v>
      </c>
      <c r="AL122" s="38">
        <f t="shared" ref="AL122:AL153" si="56">ton.con1/2*(1+(1+4*tdt.con1/AK122)^0.5)</f>
        <v>5.1981806367771283E-6</v>
      </c>
      <c r="AM122" s="38">
        <f t="shared" ref="AM122:AM153" si="57">1/(AK122*AL122/ton.con1+tdt.con1)/1000</f>
        <v>105.10860901854217</v>
      </c>
      <c r="AN122" s="38">
        <f t="shared" ref="AN122:AN157" si="58">ton.con2*Vout.sim/(Vout.sim-$AJ122)</f>
        <v>7.135476408670699E-6</v>
      </c>
      <c r="AO122" s="38">
        <f t="shared" ref="AO122:AO153" si="59">ton.con2/2*(1+(1+4*tdt.con2/AN122)^0.5)</f>
        <v>4.0297730933201374E-6</v>
      </c>
      <c r="AP122" s="38">
        <f t="shared" ref="AP122:AP153" si="60">1/(AN122*AO122/ton.con2+tdt.con2)/1000</f>
        <v>131.1719881015124</v>
      </c>
      <c r="AQ122" s="38">
        <f t="shared" ref="AQ122:AQ157" si="61">ton.con3*Vout.sim/(Vout.sim-$AJ122)</f>
        <v>4.7569842724471335E-6</v>
      </c>
      <c r="AR122" s="38">
        <f t="shared" ref="AR122:AR153" si="62">ton.con3/2*(1+(1+4*tdt.con3/AQ122)^0.5)</f>
        <v>3.1146919265168359E-6</v>
      </c>
      <c r="AS122" s="38">
        <f t="shared" ref="AS122:AS153" si="63">1/(AQ122*AR122/ton.con3+tdt.con3)/1000</f>
        <v>146.37969338902062</v>
      </c>
      <c r="AT122" s="38">
        <f t="shared" ref="AT122:AT157" si="64">ton.con4*Vout.sim/(Vout.sim-$AJ122)</f>
        <v>2.3784921362235668E-6</v>
      </c>
      <c r="AU122" s="38">
        <f t="shared" ref="AU122:AU153" si="65">ton.con4/2*(1+(1+4*tdt.con4/AT122)^0.5)</f>
        <v>2.4120523252812602E-6</v>
      </c>
      <c r="AV122" s="38">
        <f t="shared" ref="AV122:AV153" si="66">1/(AT122*AU122/ton.con4+tdt.con4)/1000</f>
        <v>122.0415127102863</v>
      </c>
      <c r="AW122" s="42"/>
      <c r="AX122" s="38">
        <v>36</v>
      </c>
      <c r="AY122" s="38">
        <f t="shared" ref="AY122:AY153" si="67">IF( ( Po.max * AX122/100 * 100/Eff.sim * 2*Lbst.sim*4/Vline.sim^2/Ton.max.sim ) + 0.5 &gt;0.7, ( Po.max * AX122/100 * 100/Eff.sim * 2*Lbst.sim*4/Vline.sim^2/Ton.max.sim ) + 0.5,"")</f>
        <v>1.1930907515702835</v>
      </c>
      <c r="AZ122" s="38">
        <f t="shared" ref="AZ122:AZ153" si="68">Ton.max.sim*(AY122-0.5)/4</f>
        <v>1.8713450292397655E-6</v>
      </c>
      <c r="BA122" s="38">
        <f t="shared" ref="BA122:BA157" si="69">MAX( C_dt*R_dt*(VCTRL.FF-AY122)/(AY122-0.5), 0 )</f>
        <v>2.1608143209057823E-6</v>
      </c>
      <c r="BB122" s="38">
        <f t="shared" ref="BB122:BB157" si="70">AZ122*Vout.sim/(Vout.sim-Vline.sim*2^0.5)</f>
        <v>3.8122008322390557E-6</v>
      </c>
      <c r="BC122" s="38">
        <f t="shared" si="25"/>
        <v>2.6269537840540298E-6</v>
      </c>
      <c r="BD122" s="38">
        <f t="shared" si="26"/>
        <v>133.11503153693661</v>
      </c>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row>
    <row r="123" spans="1:194" ht="16.5" customHeight="1" x14ac:dyDescent="0.2">
      <c r="A123" s="1"/>
      <c r="E123" s="44"/>
      <c r="F123" s="44"/>
      <c r="G123" s="44"/>
      <c r="H123" s="44"/>
      <c r="I123" s="15"/>
      <c r="J123" s="15"/>
      <c r="K123" s="15"/>
      <c r="L123" s="15"/>
      <c r="M123" s="42"/>
      <c r="N123" s="42"/>
      <c r="O123" s="42"/>
      <c r="P123" s="42"/>
      <c r="Q123" s="42"/>
      <c r="R123" s="42"/>
      <c r="S123" s="42"/>
      <c r="T123" s="42"/>
      <c r="U123" s="42"/>
      <c r="V123" s="42"/>
      <c r="W123" s="42"/>
      <c r="X123" s="42"/>
      <c r="Y123" s="38">
        <v>66</v>
      </c>
      <c r="Z123" s="38">
        <f t="shared" ref="Z123:Z186" si="71">10^-3*10^(Y123/20)</f>
        <v>1.9952623149688804</v>
      </c>
      <c r="AA123" s="38">
        <f t="shared" si="49"/>
        <v>51.037999714882893</v>
      </c>
      <c r="AB123" s="38">
        <f t="shared" si="50"/>
        <v>-32.956062672426093</v>
      </c>
      <c r="AC123" s="38">
        <f t="shared" si="51"/>
        <v>-29.088410872500592</v>
      </c>
      <c r="AD123" s="38">
        <f t="shared" si="52"/>
        <v>120.31781897937572</v>
      </c>
      <c r="AE123" s="38">
        <f t="shared" ref="AE123:AE186" si="72">AA123+AC123</f>
        <v>21.949588842382301</v>
      </c>
      <c r="AF123" s="38">
        <f t="shared" ref="AF123:AF186" si="73">AB123+AD123</f>
        <v>87.361756306949616</v>
      </c>
      <c r="AH123" s="38">
        <v>66</v>
      </c>
      <c r="AI123" s="38">
        <f t="shared" si="53"/>
        <v>6.6E-3</v>
      </c>
      <c r="AJ123" s="38">
        <f t="shared" si="54"/>
        <v>111.5356312544555</v>
      </c>
      <c r="AK123" s="38">
        <f t="shared" si="55"/>
        <v>9.3854120808686303E-6</v>
      </c>
      <c r="AL123" s="38">
        <f t="shared" si="56"/>
        <v>5.1981806367771283E-6</v>
      </c>
      <c r="AM123" s="38">
        <f t="shared" si="57"/>
        <v>106.54833174969647</v>
      </c>
      <c r="AN123" s="38">
        <f t="shared" si="58"/>
        <v>7.0390590606514711E-6</v>
      </c>
      <c r="AO123" s="38">
        <f t="shared" si="59"/>
        <v>4.0315120092722933E-6</v>
      </c>
      <c r="AP123" s="38">
        <f t="shared" si="60"/>
        <v>132.85403105472372</v>
      </c>
      <c r="AQ123" s="38">
        <f t="shared" si="61"/>
        <v>4.6927060404343152E-6</v>
      </c>
      <c r="AR123" s="38">
        <f t="shared" si="62"/>
        <v>3.1207412263582042E-6</v>
      </c>
      <c r="AS123" s="38">
        <f t="shared" si="63"/>
        <v>147.81002025004406</v>
      </c>
      <c r="AT123" s="38">
        <f t="shared" si="64"/>
        <v>2.3463530202171576E-6</v>
      </c>
      <c r="AU123" s="38">
        <f t="shared" si="65"/>
        <v>2.4224502323236483E-6</v>
      </c>
      <c r="AV123" s="38">
        <f t="shared" si="66"/>
        <v>122.65342222728637</v>
      </c>
      <c r="AW123" s="42"/>
      <c r="AX123" s="38">
        <v>35</v>
      </c>
      <c r="AY123" s="38">
        <f t="shared" si="67"/>
        <v>1.1738382306933315</v>
      </c>
      <c r="AZ123" s="38">
        <f t="shared" si="68"/>
        <v>1.8193632228719949E-6</v>
      </c>
      <c r="BA123" s="38">
        <f t="shared" si="69"/>
        <v>2.2659091789877232E-6</v>
      </c>
      <c r="BB123" s="38">
        <f t="shared" si="70"/>
        <v>3.7063063646768613E-6</v>
      </c>
      <c r="BC123" s="38">
        <f t="shared" ref="BC123:BC157" si="74">AZ123/2*(1+(1+4*BA123/BB123)^0.5)</f>
        <v>2.5982289432434788E-6</v>
      </c>
      <c r="BD123" s="38">
        <f t="shared" ref="BD123:BD157" si="75">1/(BB123*BC123/AZ123+BA123)/1000</f>
        <v>132.29476980307376</v>
      </c>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row>
    <row r="124" spans="1:194" ht="16.5" customHeight="1" x14ac:dyDescent="0.2">
      <c r="A124" s="1"/>
      <c r="E124" s="44"/>
      <c r="F124" s="44"/>
      <c r="G124" s="44"/>
      <c r="H124" s="44"/>
      <c r="I124" s="15"/>
      <c r="J124" s="15"/>
      <c r="K124" s="15"/>
      <c r="L124" s="15"/>
      <c r="M124" s="42"/>
      <c r="N124" s="42"/>
      <c r="O124" s="42"/>
      <c r="P124" s="42"/>
      <c r="Q124" s="42"/>
      <c r="R124" s="42"/>
      <c r="S124" s="42"/>
      <c r="T124" s="42"/>
      <c r="U124" s="42"/>
      <c r="V124" s="42"/>
      <c r="W124" s="42"/>
      <c r="X124" s="42"/>
      <c r="Y124" s="38">
        <v>67</v>
      </c>
      <c r="Z124" s="38">
        <f t="shared" si="71"/>
        <v>2.2387211385683417</v>
      </c>
      <c r="AA124" s="38">
        <f t="shared" si="49"/>
        <v>50.717358539584168</v>
      </c>
      <c r="AB124" s="38">
        <f t="shared" si="50"/>
        <v>-36.033065309509425</v>
      </c>
      <c r="AC124" s="38">
        <f t="shared" si="51"/>
        <v>-29.770151564067582</v>
      </c>
      <c r="AD124" s="38">
        <f t="shared" si="52"/>
        <v>123.07344848369976</v>
      </c>
      <c r="AE124" s="38">
        <f t="shared" si="72"/>
        <v>20.947206975516586</v>
      </c>
      <c r="AF124" s="38">
        <f t="shared" si="73"/>
        <v>87.040383174190339</v>
      </c>
      <c r="AH124" s="38">
        <v>67</v>
      </c>
      <c r="AI124" s="38">
        <f t="shared" si="53"/>
        <v>6.7000000000000002E-3</v>
      </c>
      <c r="AJ124" s="38">
        <f t="shared" si="54"/>
        <v>109.55457434641373</v>
      </c>
      <c r="AK124" s="38">
        <f t="shared" si="55"/>
        <v>9.253025886365694E-6</v>
      </c>
      <c r="AL124" s="38">
        <f t="shared" si="56"/>
        <v>5.1981806367771283E-6</v>
      </c>
      <c r="AM124" s="38">
        <f t="shared" si="57"/>
        <v>108.07275504043461</v>
      </c>
      <c r="AN124" s="38">
        <f t="shared" si="58"/>
        <v>6.9397694147742697E-6</v>
      </c>
      <c r="AO124" s="38">
        <f t="shared" si="59"/>
        <v>4.0333516461667515E-6</v>
      </c>
      <c r="AP124" s="38">
        <f t="shared" si="60"/>
        <v>134.63192195273564</v>
      </c>
      <c r="AQ124" s="38">
        <f t="shared" si="61"/>
        <v>4.626512943182847E-6</v>
      </c>
      <c r="AR124" s="38">
        <f t="shared" si="62"/>
        <v>3.127124588804627E-6</v>
      </c>
      <c r="AS124" s="38">
        <f t="shared" si="63"/>
        <v>149.31333389780951</v>
      </c>
      <c r="AT124" s="38">
        <f t="shared" si="64"/>
        <v>2.3132564715914235E-6</v>
      </c>
      <c r="AU124" s="38">
        <f t="shared" si="65"/>
        <v>2.4333937911699096E-6</v>
      </c>
      <c r="AV124" s="38">
        <f t="shared" si="66"/>
        <v>123.29179474788694</v>
      </c>
      <c r="AW124" s="42"/>
      <c r="AX124" s="38">
        <v>34</v>
      </c>
      <c r="AY124" s="38">
        <f t="shared" si="67"/>
        <v>1.1545857098163792</v>
      </c>
      <c r="AZ124" s="38">
        <f t="shared" si="68"/>
        <v>1.7673814165042238E-6</v>
      </c>
      <c r="BA124" s="38">
        <f t="shared" si="69"/>
        <v>2.3771860875450741E-6</v>
      </c>
      <c r="BB124" s="38">
        <f t="shared" si="70"/>
        <v>3.6004118971146655E-6</v>
      </c>
      <c r="BC124" s="38">
        <f t="shared" si="74"/>
        <v>2.5699003349789248E-6</v>
      </c>
      <c r="BD124" s="38">
        <f t="shared" si="75"/>
        <v>131.36383490303177</v>
      </c>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row>
    <row r="125" spans="1:194" ht="16.5" customHeight="1" x14ac:dyDescent="0.2">
      <c r="A125" s="1"/>
      <c r="E125" s="44"/>
      <c r="F125" s="44"/>
      <c r="G125" s="44"/>
      <c r="H125" s="44"/>
      <c r="I125" s="15"/>
      <c r="J125" s="15"/>
      <c r="K125" s="15"/>
      <c r="L125" s="15"/>
      <c r="M125" s="42"/>
      <c r="N125" s="42"/>
      <c r="O125" s="42"/>
      <c r="P125" s="42"/>
      <c r="Q125" s="42"/>
      <c r="R125" s="42"/>
      <c r="S125" s="42"/>
      <c r="T125" s="42"/>
      <c r="U125" s="42"/>
      <c r="V125" s="42"/>
      <c r="W125" s="42"/>
      <c r="X125" s="42"/>
      <c r="Y125" s="38">
        <v>68</v>
      </c>
      <c r="Z125" s="38">
        <f t="shared" si="71"/>
        <v>2.511886431509581</v>
      </c>
      <c r="AA125" s="38">
        <f t="shared" si="49"/>
        <v>50.34469290172477</v>
      </c>
      <c r="AB125" s="38">
        <f t="shared" si="50"/>
        <v>-39.220768094519528</v>
      </c>
      <c r="AC125" s="38">
        <f t="shared" si="51"/>
        <v>-30.400482662653491</v>
      </c>
      <c r="AD125" s="38">
        <f t="shared" si="52"/>
        <v>125.90078741528268</v>
      </c>
      <c r="AE125" s="38">
        <f t="shared" si="72"/>
        <v>19.944210239071278</v>
      </c>
      <c r="AF125" s="38">
        <f t="shared" si="73"/>
        <v>86.680019320763151</v>
      </c>
      <c r="AH125" s="38">
        <v>68</v>
      </c>
      <c r="AI125" s="38">
        <f t="shared" si="53"/>
        <v>6.8000000000000005E-3</v>
      </c>
      <c r="AJ125" s="38">
        <f t="shared" si="54"/>
        <v>107.46540030017609</v>
      </c>
      <c r="AK125" s="38">
        <f t="shared" si="55"/>
        <v>9.1174014024041041E-6</v>
      </c>
      <c r="AL125" s="38">
        <f t="shared" si="56"/>
        <v>5.1981806367771283E-6</v>
      </c>
      <c r="AM125" s="38">
        <f t="shared" si="57"/>
        <v>109.6803744690145</v>
      </c>
      <c r="AN125" s="38">
        <f t="shared" si="58"/>
        <v>6.8380510518030772E-6</v>
      </c>
      <c r="AO125" s="38">
        <f t="shared" si="59"/>
        <v>4.0352899245125367E-6</v>
      </c>
      <c r="AP125" s="38">
        <f t="shared" si="60"/>
        <v>136.50338973203304</v>
      </c>
      <c r="AQ125" s="38">
        <f t="shared" si="61"/>
        <v>4.5587007012020521E-6</v>
      </c>
      <c r="AR125" s="38">
        <f t="shared" si="62"/>
        <v>3.1338322606346709E-6</v>
      </c>
      <c r="AS125" s="38">
        <f t="shared" si="63"/>
        <v>150.88642514235539</v>
      </c>
      <c r="AT125" s="38">
        <f t="shared" si="64"/>
        <v>2.279350350601026E-6</v>
      </c>
      <c r="AU125" s="38">
        <f t="shared" si="65"/>
        <v>2.4448623243764081E-6</v>
      </c>
      <c r="AV125" s="38">
        <f t="shared" si="66"/>
        <v>123.95465799260536</v>
      </c>
      <c r="AW125" s="42"/>
      <c r="AX125" s="38">
        <v>33</v>
      </c>
      <c r="AY125" s="38">
        <f t="shared" si="67"/>
        <v>1.1353331889394269</v>
      </c>
      <c r="AZ125" s="38">
        <f t="shared" si="68"/>
        <v>1.7153996101364528E-6</v>
      </c>
      <c r="BA125" s="38">
        <f t="shared" si="69"/>
        <v>2.495207051166506E-6</v>
      </c>
      <c r="BB125" s="38">
        <f t="shared" si="70"/>
        <v>3.4945174295524698E-6</v>
      </c>
      <c r="BC125" s="38">
        <f t="shared" si="74"/>
        <v>2.5419696091301578E-6</v>
      </c>
      <c r="BD125" s="38">
        <f t="shared" si="75"/>
        <v>130.31748657606911</v>
      </c>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row>
    <row r="126" spans="1:194" ht="16.5" customHeight="1" x14ac:dyDescent="0.2">
      <c r="A126" s="1"/>
      <c r="E126" s="44"/>
      <c r="F126" s="44"/>
      <c r="G126" s="44"/>
      <c r="H126" s="44"/>
      <c r="I126" s="15"/>
      <c r="J126" s="15"/>
      <c r="K126" s="15"/>
      <c r="L126" s="15"/>
      <c r="M126" s="42"/>
      <c r="N126" s="42"/>
      <c r="O126" s="42"/>
      <c r="P126" s="42"/>
      <c r="Q126" s="42"/>
      <c r="R126" s="42"/>
      <c r="S126" s="42"/>
      <c r="T126" s="42"/>
      <c r="U126" s="42"/>
      <c r="V126" s="42"/>
      <c r="W126" s="42"/>
      <c r="X126" s="42"/>
      <c r="Y126" s="38">
        <v>69</v>
      </c>
      <c r="Z126" s="38">
        <f t="shared" si="71"/>
        <v>2.8183829312644564</v>
      </c>
      <c r="AA126" s="38">
        <f t="shared" si="49"/>
        <v>49.916880751522726</v>
      </c>
      <c r="AB126" s="38">
        <f t="shared" si="50"/>
        <v>-42.482621803080228</v>
      </c>
      <c r="AC126" s="38">
        <f t="shared" si="51"/>
        <v>-30.976440242238986</v>
      </c>
      <c r="AD126" s="38">
        <f t="shared" si="52"/>
        <v>128.75862040712568</v>
      </c>
      <c r="AE126" s="38">
        <f t="shared" si="72"/>
        <v>18.940440509283739</v>
      </c>
      <c r="AF126" s="38">
        <f t="shared" si="73"/>
        <v>86.275998604045441</v>
      </c>
      <c r="AH126" s="38">
        <v>69</v>
      </c>
      <c r="AI126" s="38">
        <f t="shared" si="53"/>
        <v>6.8999999999999999E-3</v>
      </c>
      <c r="AJ126" s="38">
        <f t="shared" si="54"/>
        <v>105.27017087829719</v>
      </c>
      <c r="AK126" s="38">
        <f t="shared" si="55"/>
        <v>8.979110713255241E-6</v>
      </c>
      <c r="AL126" s="38">
        <f t="shared" si="56"/>
        <v>5.1981806367771283E-6</v>
      </c>
      <c r="AM126" s="38">
        <f t="shared" si="57"/>
        <v>111.36960350915029</v>
      </c>
      <c r="AN126" s="38">
        <f t="shared" si="58"/>
        <v>6.7343330349414299E-6</v>
      </c>
      <c r="AO126" s="38">
        <f t="shared" si="59"/>
        <v>4.0373246595119993E-6</v>
      </c>
      <c r="AP126" s="38">
        <f t="shared" si="60"/>
        <v>138.46605609293169</v>
      </c>
      <c r="AQ126" s="38">
        <f t="shared" si="61"/>
        <v>4.4895553566276205E-6</v>
      </c>
      <c r="AR126" s="38">
        <f t="shared" si="62"/>
        <v>3.1408541152526517E-6</v>
      </c>
      <c r="AS126" s="38">
        <f t="shared" si="63"/>
        <v>152.52600041580624</v>
      </c>
      <c r="AT126" s="38">
        <f t="shared" si="64"/>
        <v>2.2447776783138103E-6</v>
      </c>
      <c r="AU126" s="38">
        <f t="shared" si="65"/>
        <v>2.456834629648868E-6</v>
      </c>
      <c r="AV126" s="38">
        <f t="shared" si="66"/>
        <v>124.64003623691549</v>
      </c>
      <c r="AW126" s="42"/>
      <c r="AX126" s="38">
        <v>32</v>
      </c>
      <c r="AY126" s="38">
        <f t="shared" si="67"/>
        <v>1.1160806680624744</v>
      </c>
      <c r="AZ126" s="38">
        <f t="shared" si="68"/>
        <v>1.6634178037686808E-6</v>
      </c>
      <c r="BA126" s="38">
        <f t="shared" si="69"/>
        <v>2.6206043250142796E-6</v>
      </c>
      <c r="BB126" s="38">
        <f t="shared" si="70"/>
        <v>3.3886229619902728E-6</v>
      </c>
      <c r="BC126" s="38">
        <f t="shared" si="74"/>
        <v>2.5144381417147075E-6</v>
      </c>
      <c r="BD126" s="38">
        <f t="shared" si="75"/>
        <v>129.15092760387034</v>
      </c>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row>
    <row r="127" spans="1:194" ht="16.5" customHeight="1" x14ac:dyDescent="0.2">
      <c r="A127" s="1"/>
      <c r="E127" s="44"/>
      <c r="F127" s="44"/>
      <c r="G127" s="44"/>
      <c r="H127" s="44"/>
      <c r="I127" s="15"/>
      <c r="J127" s="15"/>
      <c r="K127" s="15"/>
      <c r="L127" s="1"/>
      <c r="M127" s="42"/>
      <c r="N127" s="42"/>
      <c r="O127" s="42"/>
      <c r="P127" s="42"/>
      <c r="Q127" s="42"/>
      <c r="R127" s="42"/>
      <c r="S127" s="42"/>
      <c r="T127" s="42"/>
      <c r="U127" s="42"/>
      <c r="V127" s="42"/>
      <c r="W127" s="42"/>
      <c r="X127" s="42"/>
      <c r="Y127" s="38">
        <v>70</v>
      </c>
      <c r="Z127" s="38">
        <f t="shared" si="71"/>
        <v>3.1622776601683804</v>
      </c>
      <c r="AA127" s="38">
        <f t="shared" si="49"/>
        <v>49.432070180080991</v>
      </c>
      <c r="AB127" s="38">
        <f t="shared" si="50"/>
        <v>-45.777490537886571</v>
      </c>
      <c r="AC127" s="38">
        <f t="shared" si="51"/>
        <v>-31.496370831420986</v>
      </c>
      <c r="AD127" s="38">
        <f t="shared" si="52"/>
        <v>131.60061344721066</v>
      </c>
      <c r="AE127" s="38">
        <f t="shared" si="72"/>
        <v>17.935699348660005</v>
      </c>
      <c r="AF127" s="38">
        <f t="shared" si="73"/>
        <v>85.823122909324098</v>
      </c>
      <c r="AH127" s="38">
        <v>70</v>
      </c>
      <c r="AI127" s="38">
        <f t="shared" si="53"/>
        <v>6.9999999999999993E-3</v>
      </c>
      <c r="AJ127" s="38">
        <f t="shared" si="54"/>
        <v>102.97105250718317</v>
      </c>
      <c r="AK127" s="38">
        <f t="shared" si="55"/>
        <v>8.8387027272828167E-6</v>
      </c>
      <c r="AL127" s="38">
        <f t="shared" si="56"/>
        <v>5.1981806367771283E-6</v>
      </c>
      <c r="AM127" s="38">
        <f t="shared" si="57"/>
        <v>113.13877509572254</v>
      </c>
      <c r="AN127" s="38">
        <f t="shared" si="58"/>
        <v>6.6290270454621117E-6</v>
      </c>
      <c r="AO127" s="38">
        <f t="shared" si="59"/>
        <v>4.0394535644513302E-6</v>
      </c>
      <c r="AP127" s="38">
        <f t="shared" si="60"/>
        <v>140.51744033955828</v>
      </c>
      <c r="AQ127" s="38">
        <f t="shared" si="61"/>
        <v>4.4193513636414083E-6</v>
      </c>
      <c r="AR127" s="38">
        <f t="shared" si="62"/>
        <v>3.1481796834104111E-6</v>
      </c>
      <c r="AS127" s="38">
        <f t="shared" si="63"/>
        <v>154.22869625633814</v>
      </c>
      <c r="AT127" s="38">
        <f t="shared" si="64"/>
        <v>2.2096756818207042E-6</v>
      </c>
      <c r="AU127" s="38">
        <f t="shared" si="65"/>
        <v>2.4692890672754518E-6</v>
      </c>
      <c r="AV127" s="38">
        <f t="shared" si="66"/>
        <v>125.34596215788045</v>
      </c>
      <c r="AW127" s="42"/>
      <c r="AX127" s="38">
        <v>31</v>
      </c>
      <c r="AY127" s="38">
        <f t="shared" si="67"/>
        <v>1.0968281471855219</v>
      </c>
      <c r="AZ127" s="38">
        <f t="shared" si="68"/>
        <v>1.6114359974009091E-6</v>
      </c>
      <c r="BA127" s="38">
        <f t="shared" si="69"/>
        <v>2.7540917455619094E-6</v>
      </c>
      <c r="BB127" s="38">
        <f t="shared" si="70"/>
        <v>3.2827284944280758E-6</v>
      </c>
      <c r="BC127" s="38">
        <f t="shared" si="74"/>
        <v>2.4873070300579923E-6</v>
      </c>
      <c r="BD127" s="38">
        <f t="shared" si="75"/>
        <v>127.85931176495694</v>
      </c>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row>
    <row r="128" spans="1:194" ht="16.5" customHeight="1" x14ac:dyDescent="0.2">
      <c r="A128" s="1"/>
      <c r="E128" s="44"/>
      <c r="F128" s="44"/>
      <c r="G128" s="44"/>
      <c r="H128" s="44"/>
      <c r="I128" s="15"/>
      <c r="J128" s="15"/>
      <c r="K128" s="15"/>
      <c r="L128" s="1"/>
      <c r="M128" s="42"/>
      <c r="N128" s="42"/>
      <c r="O128" s="42"/>
      <c r="P128" s="42"/>
      <c r="Q128" s="42"/>
      <c r="R128" s="42"/>
      <c r="S128" s="42"/>
      <c r="T128" s="42"/>
      <c r="U128" s="42"/>
      <c r="V128" s="42"/>
      <c r="W128" s="42"/>
      <c r="X128" s="42"/>
      <c r="Y128" s="38">
        <v>71</v>
      </c>
      <c r="Z128" s="38">
        <f t="shared" si="71"/>
        <v>3.5481338923357542</v>
      </c>
      <c r="AA128" s="38">
        <f t="shared" si="49"/>
        <v>48.889863718550629</v>
      </c>
      <c r="AB128" s="38">
        <f t="shared" si="50"/>
        <v>-49.062115425697407</v>
      </c>
      <c r="AC128" s="38">
        <f t="shared" si="51"/>
        <v>-31.960125787243474</v>
      </c>
      <c r="AD128" s="38">
        <f t="shared" si="52"/>
        <v>134.3777278240469</v>
      </c>
      <c r="AE128" s="38">
        <f t="shared" si="72"/>
        <v>16.929737931307155</v>
      </c>
      <c r="AF128" s="38">
        <f t="shared" si="73"/>
        <v>85.315612398349487</v>
      </c>
      <c r="AH128" s="38">
        <v>71</v>
      </c>
      <c r="AI128" s="38">
        <f t="shared" si="53"/>
        <v>7.0999999999999995E-3</v>
      </c>
      <c r="AJ128" s="38">
        <f t="shared" si="54"/>
        <v>100.57031413909041</v>
      </c>
      <c r="AK128" s="38">
        <f t="shared" si="55"/>
        <v>8.69670006804344E-6</v>
      </c>
      <c r="AL128" s="38">
        <f t="shared" si="56"/>
        <v>5.1981806367771283E-6</v>
      </c>
      <c r="AM128" s="38">
        <f t="shared" si="57"/>
        <v>114.9861432699699</v>
      </c>
      <c r="AN128" s="38">
        <f t="shared" si="58"/>
        <v>6.5225250510325787E-6</v>
      </c>
      <c r="AO128" s="38">
        <f t="shared" si="59"/>
        <v>4.0416742542138214E-6</v>
      </c>
      <c r="AP128" s="38">
        <f t="shared" si="60"/>
        <v>142.65496435827308</v>
      </c>
      <c r="AQ128" s="38">
        <f t="shared" si="61"/>
        <v>4.34835003402172E-6</v>
      </c>
      <c r="AR128" s="38">
        <f t="shared" si="62"/>
        <v>3.1557981838740586E-6</v>
      </c>
      <c r="AS128" s="38">
        <f t="shared" si="63"/>
        <v>155.9910934925237</v>
      </c>
      <c r="AT128" s="38">
        <f t="shared" si="64"/>
        <v>2.17417501701086E-6</v>
      </c>
      <c r="AU128" s="38">
        <f t="shared" si="65"/>
        <v>2.4822036440652497E-6</v>
      </c>
      <c r="AV128" s="38">
        <f t="shared" si="66"/>
        <v>126.07048770271361</v>
      </c>
      <c r="AW128" s="42"/>
      <c r="AX128" s="38">
        <v>30</v>
      </c>
      <c r="AY128" s="38">
        <f t="shared" si="67"/>
        <v>1.0775756263085698</v>
      </c>
      <c r="AZ128" s="38">
        <f t="shared" si="68"/>
        <v>1.5594541910331385E-6</v>
      </c>
      <c r="BA128" s="38">
        <f t="shared" si="69"/>
        <v>2.8964783274793778E-6</v>
      </c>
      <c r="BB128" s="38">
        <f t="shared" si="70"/>
        <v>3.1768340268658813E-6</v>
      </c>
      <c r="BC128" s="38">
        <f t="shared" si="74"/>
        <v>2.4605770889069691E-6</v>
      </c>
      <c r="BD128" s="38">
        <f t="shared" si="75"/>
        <v>126.43775216491801</v>
      </c>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row>
    <row r="129" spans="1:194" ht="16.5" customHeight="1" x14ac:dyDescent="0.2">
      <c r="A129" s="1"/>
      <c r="E129" s="44"/>
      <c r="F129" s="44"/>
      <c r="G129" s="44"/>
      <c r="H129" s="44"/>
      <c r="I129" s="15"/>
      <c r="J129" s="15"/>
      <c r="K129" s="15"/>
      <c r="L129" s="1"/>
      <c r="M129" s="42"/>
      <c r="N129" s="42"/>
      <c r="O129" s="42"/>
      <c r="P129" s="42"/>
      <c r="Q129" s="42"/>
      <c r="R129" s="42"/>
      <c r="S129" s="42"/>
      <c r="T129" s="42"/>
      <c r="U129" s="42"/>
      <c r="V129" s="42"/>
      <c r="W129" s="42"/>
      <c r="X129" s="42"/>
      <c r="Y129" s="38">
        <v>72</v>
      </c>
      <c r="Z129" s="38">
        <f t="shared" si="71"/>
        <v>3.9810717055349771</v>
      </c>
      <c r="AA129" s="38">
        <f t="shared" si="49"/>
        <v>48.291359057323604</v>
      </c>
      <c r="AB129" s="38">
        <f t="shared" si="50"/>
        <v>-52.29390168124889</v>
      </c>
      <c r="AC129" s="38">
        <f t="shared" si="51"/>
        <v>-32.369114488965479</v>
      </c>
      <c r="AD129" s="38">
        <f t="shared" si="52"/>
        <v>137.04095742025083</v>
      </c>
      <c r="AE129" s="38">
        <f t="shared" si="72"/>
        <v>15.922244568358124</v>
      </c>
      <c r="AF129" s="38">
        <f t="shared" si="73"/>
        <v>84.747055739001951</v>
      </c>
      <c r="AH129" s="38">
        <v>72</v>
      </c>
      <c r="AI129" s="38">
        <f t="shared" si="53"/>
        <v>7.1999999999999998E-3</v>
      </c>
      <c r="AJ129" s="38">
        <f t="shared" si="54"/>
        <v>98.070325012943499</v>
      </c>
      <c r="AK129" s="38">
        <f t="shared" si="55"/>
        <v>8.553596651246675E-6</v>
      </c>
      <c r="AL129" s="38">
        <f t="shared" si="56"/>
        <v>5.1981806367771283E-6</v>
      </c>
      <c r="AM129" s="38">
        <f t="shared" si="57"/>
        <v>116.90988490253996</v>
      </c>
      <c r="AN129" s="38">
        <f t="shared" si="58"/>
        <v>6.415197488435005E-6</v>
      </c>
      <c r="AO129" s="38">
        <f t="shared" si="59"/>
        <v>4.043984248905935E-6</v>
      </c>
      <c r="AP129" s="38">
        <f t="shared" si="60"/>
        <v>144.87595771583443</v>
      </c>
      <c r="AQ129" s="38">
        <f t="shared" si="61"/>
        <v>4.2767983256233375E-6</v>
      </c>
      <c r="AR129" s="38">
        <f t="shared" si="62"/>
        <v>3.1636985538595373E-6</v>
      </c>
      <c r="AS129" s="38">
        <f t="shared" si="63"/>
        <v>157.80973103078185</v>
      </c>
      <c r="AT129" s="38">
        <f t="shared" si="64"/>
        <v>2.1383991628116688E-6</v>
      </c>
      <c r="AU129" s="38">
        <f t="shared" si="65"/>
        <v>2.4955560933065164E-6</v>
      </c>
      <c r="AV129" s="38">
        <f t="shared" si="66"/>
        <v>126.81169392488943</v>
      </c>
      <c r="AW129" s="42"/>
      <c r="AX129" s="38">
        <v>29</v>
      </c>
      <c r="AY129" s="38">
        <f t="shared" si="67"/>
        <v>1.0583231054316173</v>
      </c>
      <c r="AZ129" s="38">
        <f t="shared" si="68"/>
        <v>1.5074723846653668E-6</v>
      </c>
      <c r="BA129" s="38">
        <f t="shared" si="69"/>
        <v>3.0486846736670197E-6</v>
      </c>
      <c r="BB129" s="38">
        <f t="shared" si="70"/>
        <v>3.0709395593036839E-6</v>
      </c>
      <c r="BC129" s="38">
        <f t="shared" si="74"/>
        <v>2.4342488475292044E-6</v>
      </c>
      <c r="BD129" s="38">
        <f t="shared" si="75"/>
        <v>124.88132990311475</v>
      </c>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row>
    <row r="130" spans="1:194" ht="16.5" customHeight="1" x14ac:dyDescent="0.2">
      <c r="A130" s="1"/>
      <c r="E130" s="44"/>
      <c r="F130" s="44"/>
      <c r="G130" s="44"/>
      <c r="H130" s="44"/>
      <c r="I130" s="15"/>
      <c r="J130" s="15"/>
      <c r="K130" s="15"/>
      <c r="L130" s="1"/>
      <c r="M130" s="42"/>
      <c r="N130" s="42"/>
      <c r="O130" s="42"/>
      <c r="P130" s="42"/>
      <c r="Q130" s="42"/>
      <c r="R130" s="42"/>
      <c r="S130" s="42"/>
      <c r="T130" s="42"/>
      <c r="U130" s="42"/>
      <c r="V130" s="42"/>
      <c r="W130" s="42"/>
      <c r="X130" s="42"/>
      <c r="Y130" s="38">
        <v>73</v>
      </c>
      <c r="Z130" s="38">
        <f t="shared" si="71"/>
        <v>4.4668359215096345</v>
      </c>
      <c r="AA130" s="38">
        <f t="shared" si="49"/>
        <v>47.639037591604144</v>
      </c>
      <c r="AB130" s="38">
        <f t="shared" si="50"/>
        <v>-55.433603352263802</v>
      </c>
      <c r="AC130" s="38">
        <f t="shared" si="51"/>
        <v>-32.726208261348631</v>
      </c>
      <c r="AD130" s="38">
        <f t="shared" si="52"/>
        <v>139.5439660088758</v>
      </c>
      <c r="AE130" s="38">
        <f t="shared" si="72"/>
        <v>14.912829330255512</v>
      </c>
      <c r="AF130" s="38">
        <f t="shared" si="73"/>
        <v>84.110362656611997</v>
      </c>
      <c r="AH130" s="38">
        <v>73</v>
      </c>
      <c r="AI130" s="38">
        <f t="shared" si="53"/>
        <v>7.3000000000000001E-3</v>
      </c>
      <c r="AJ130" s="38">
        <f t="shared" si="54"/>
        <v>95.473552316182662</v>
      </c>
      <c r="AK130" s="38">
        <f t="shared" si="55"/>
        <v>8.4098559092831324E-6</v>
      </c>
      <c r="AL130" s="38">
        <f t="shared" si="56"/>
        <v>5.1981806367771283E-6</v>
      </c>
      <c r="AM130" s="38">
        <f t="shared" si="57"/>
        <v>118.90810149269743</v>
      </c>
      <c r="AN130" s="38">
        <f t="shared" si="58"/>
        <v>6.3073919319623484E-6</v>
      </c>
      <c r="AO130" s="38">
        <f t="shared" si="59"/>
        <v>4.0463809775861026E-6</v>
      </c>
      <c r="AP130" s="38">
        <f t="shared" si="60"/>
        <v>147.17766285860387</v>
      </c>
      <c r="AQ130" s="38">
        <f t="shared" si="61"/>
        <v>4.2049279546415662E-6</v>
      </c>
      <c r="AR130" s="38">
        <f t="shared" si="62"/>
        <v>3.1718694790748836E-6</v>
      </c>
      <c r="AS130" s="38">
        <f t="shared" si="63"/>
        <v>159.68111915959426</v>
      </c>
      <c r="AT130" s="38">
        <f t="shared" si="64"/>
        <v>2.1024639773207831E-6</v>
      </c>
      <c r="AU130" s="38">
        <f t="shared" si="65"/>
        <v>2.5093239503641142E-6</v>
      </c>
      <c r="AV130" s="38">
        <f t="shared" si="66"/>
        <v>127.56769975759659</v>
      </c>
      <c r="AW130" s="42"/>
      <c r="AX130" s="38">
        <v>28</v>
      </c>
      <c r="AY130" s="38">
        <f t="shared" si="67"/>
        <v>1.0390705845546653</v>
      </c>
      <c r="AZ130" s="38">
        <f t="shared" si="68"/>
        <v>1.4554905782975963E-6</v>
      </c>
      <c r="BA130" s="38">
        <f t="shared" si="69"/>
        <v>3.2117629017252045E-6</v>
      </c>
      <c r="BB130" s="38">
        <f t="shared" si="70"/>
        <v>2.9650450917414894E-6</v>
      </c>
      <c r="BC130" s="38">
        <f t="shared" si="74"/>
        <v>2.408322547821378E-6</v>
      </c>
      <c r="BD130" s="38">
        <f t="shared" si="75"/>
        <v>123.18510303283169</v>
      </c>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row>
    <row r="131" spans="1:194" ht="16.5" customHeight="1" x14ac:dyDescent="0.2">
      <c r="A131" s="1"/>
      <c r="E131" s="44"/>
      <c r="F131" s="44"/>
      <c r="G131" s="44"/>
      <c r="H131" s="44"/>
      <c r="I131" s="15"/>
      <c r="J131" s="15"/>
      <c r="K131" s="15"/>
      <c r="L131" s="1"/>
      <c r="M131" s="42"/>
      <c r="N131" s="42"/>
      <c r="O131" s="42"/>
      <c r="P131" s="42"/>
      <c r="Q131" s="42"/>
      <c r="R131" s="42"/>
      <c r="S131" s="42"/>
      <c r="T131" s="42"/>
      <c r="U131" s="42"/>
      <c r="V131" s="42"/>
      <c r="W131" s="42"/>
      <c r="X131" s="42"/>
      <c r="Y131" s="38">
        <v>74</v>
      </c>
      <c r="Z131" s="38">
        <f t="shared" si="71"/>
        <v>5.0118723362727327</v>
      </c>
      <c r="AA131" s="38">
        <f t="shared" si="49"/>
        <v>46.936524043806564</v>
      </c>
      <c r="AB131" s="38">
        <f t="shared" si="50"/>
        <v>-58.447508373273394</v>
      </c>
      <c r="AC131" s="38">
        <f t="shared" si="51"/>
        <v>-33.035518846106548</v>
      </c>
      <c r="AD131" s="38">
        <f t="shared" si="52"/>
        <v>141.84523065741141</v>
      </c>
      <c r="AE131" s="38">
        <f t="shared" si="72"/>
        <v>13.901005197700016</v>
      </c>
      <c r="AF131" s="38">
        <f t="shared" si="73"/>
        <v>83.397722284138013</v>
      </c>
      <c r="AH131" s="38">
        <v>74</v>
      </c>
      <c r="AI131" s="38">
        <f t="shared" si="53"/>
        <v>7.4000000000000003E-3</v>
      </c>
      <c r="AJ131" s="38">
        <f t="shared" si="54"/>
        <v>92.782558749947384</v>
      </c>
      <c r="AK131" s="38">
        <f t="shared" si="55"/>
        <v>8.2659096144897175E-6</v>
      </c>
      <c r="AL131" s="38">
        <f t="shared" si="56"/>
        <v>5.1981806367771283E-6</v>
      </c>
      <c r="AM131" s="38">
        <f t="shared" si="57"/>
        <v>120.97882104191547</v>
      </c>
      <c r="AN131" s="38">
        <f t="shared" si="58"/>
        <v>6.1994322108672864E-6</v>
      </c>
      <c r="AO131" s="38">
        <f t="shared" si="59"/>
        <v>4.0488617820861686E-6</v>
      </c>
      <c r="AP131" s="38">
        <f t="shared" si="60"/>
        <v>149.55724039420286</v>
      </c>
      <c r="AQ131" s="38">
        <f t="shared" si="61"/>
        <v>4.1329548072448587E-6</v>
      </c>
      <c r="AR131" s="38">
        <f t="shared" si="62"/>
        <v>3.1802994232219247E-6</v>
      </c>
      <c r="AS131" s="38">
        <f t="shared" si="63"/>
        <v>161.60175229547519</v>
      </c>
      <c r="AT131" s="38">
        <f t="shared" si="64"/>
        <v>2.0664774036224294E-6</v>
      </c>
      <c r="AU131" s="38">
        <f t="shared" si="65"/>
        <v>2.5234846236355295E-6</v>
      </c>
      <c r="AV131" s="38">
        <f t="shared" si="66"/>
        <v>128.33666971622048</v>
      </c>
      <c r="AW131" s="42"/>
      <c r="AX131" s="38">
        <v>27</v>
      </c>
      <c r="AY131" s="38">
        <f t="shared" si="67"/>
        <v>1.0198180636777128</v>
      </c>
      <c r="AZ131" s="38">
        <f t="shared" si="68"/>
        <v>1.4035087719298244E-6</v>
      </c>
      <c r="BA131" s="38">
        <f t="shared" si="69"/>
        <v>3.3869209985284434E-6</v>
      </c>
      <c r="BB131" s="38">
        <f t="shared" si="70"/>
        <v>2.8591506241792924E-6</v>
      </c>
      <c r="BC131" s="38">
        <f t="shared" si="74"/>
        <v>2.3827981434429419E-6</v>
      </c>
      <c r="BD131" s="38">
        <f t="shared" si="75"/>
        <v>121.34411576858754</v>
      </c>
      <c r="BE131" s="38"/>
      <c r="BF131" s="38"/>
      <c r="BG131" s="38"/>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row>
    <row r="132" spans="1:194" ht="16.5" customHeight="1" x14ac:dyDescent="0.2">
      <c r="A132" s="1"/>
      <c r="E132" s="44"/>
      <c r="F132" s="44"/>
      <c r="G132" s="44"/>
      <c r="H132" s="44"/>
      <c r="I132" s="15"/>
      <c r="J132" s="15"/>
      <c r="K132" s="15"/>
      <c r="L132" s="1"/>
      <c r="M132" s="42"/>
      <c r="N132" s="42"/>
      <c r="O132" s="42"/>
      <c r="P132" s="42"/>
      <c r="Q132" s="42"/>
      <c r="R132" s="42"/>
      <c r="S132" s="42"/>
      <c r="T132" s="42"/>
      <c r="U132" s="42"/>
      <c r="V132" s="42"/>
      <c r="W132" s="42"/>
      <c r="X132" s="42"/>
      <c r="Y132" s="38">
        <v>75</v>
      </c>
      <c r="Z132" s="38">
        <f t="shared" si="71"/>
        <v>5.6234132519034992</v>
      </c>
      <c r="AA132" s="38">
        <f t="shared" si="49"/>
        <v>46.188264277048575</v>
      </c>
      <c r="AB132" s="38">
        <f t="shared" si="50"/>
        <v>-61.308859338977243</v>
      </c>
      <c r="AC132" s="38">
        <f t="shared" si="51"/>
        <v>-33.302099151156412</v>
      </c>
      <c r="AD132" s="38">
        <f t="shared" si="52"/>
        <v>143.90943166902136</v>
      </c>
      <c r="AE132" s="38">
        <f t="shared" si="72"/>
        <v>12.886165125892163</v>
      </c>
      <c r="AF132" s="38">
        <f t="shared" si="73"/>
        <v>82.600572330044116</v>
      </c>
      <c r="AH132" s="38">
        <v>75</v>
      </c>
      <c r="AI132" s="38">
        <f t="shared" si="53"/>
        <v>7.4999999999999997E-3</v>
      </c>
      <c r="AJ132" s="38">
        <f t="shared" si="54"/>
        <v>90.000000000000014</v>
      </c>
      <c r="AK132" s="38">
        <f t="shared" si="55"/>
        <v>8.1221572449642634E-6</v>
      </c>
      <c r="AL132" s="38">
        <f t="shared" si="56"/>
        <v>5.1981806367771283E-6</v>
      </c>
      <c r="AM132" s="38">
        <f t="shared" si="57"/>
        <v>123.11999999999999</v>
      </c>
      <c r="AN132" s="38">
        <f t="shared" si="58"/>
        <v>6.0916179337231967E-6</v>
      </c>
      <c r="AO132" s="38">
        <f t="shared" si="59"/>
        <v>4.051423920915382E-6</v>
      </c>
      <c r="AP132" s="38">
        <f t="shared" si="60"/>
        <v>152.0117744372435</v>
      </c>
      <c r="AQ132" s="38">
        <f t="shared" si="61"/>
        <v>4.0610786224821317E-6</v>
      </c>
      <c r="AR132" s="38">
        <f t="shared" si="62"/>
        <v>3.188976656825633E-6</v>
      </c>
      <c r="AS132" s="38">
        <f t="shared" si="63"/>
        <v>163.56812110714446</v>
      </c>
      <c r="AT132" s="38">
        <f t="shared" si="64"/>
        <v>2.0305393112410659E-6</v>
      </c>
      <c r="AU132" s="38">
        <f t="shared" si="65"/>
        <v>2.5380154606777982E-6</v>
      </c>
      <c r="AV132" s="38">
        <f t="shared" si="66"/>
        <v>129.11682054084818</v>
      </c>
      <c r="AW132" s="42"/>
      <c r="AX132" s="38">
        <v>26</v>
      </c>
      <c r="AY132" s="38">
        <f t="shared" si="67"/>
        <v>1.0005655428007605</v>
      </c>
      <c r="AZ132" s="38">
        <f t="shared" si="68"/>
        <v>1.3515269655620534E-6</v>
      </c>
      <c r="BA132" s="38">
        <f t="shared" si="69"/>
        <v>3.5755527950857757E-6</v>
      </c>
      <c r="BB132" s="38">
        <f t="shared" si="70"/>
        <v>2.7532561566170967E-6</v>
      </c>
      <c r="BC132" s="38">
        <f t="shared" si="74"/>
        <v>2.3576752999821815E-6</v>
      </c>
      <c r="BD132" s="38">
        <f t="shared" si="75"/>
        <v>119.35340789153392</v>
      </c>
      <c r="BE132" s="38"/>
      <c r="BF132" s="38"/>
      <c r="BG132" s="38"/>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row>
    <row r="133" spans="1:194" ht="16.5" customHeight="1" x14ac:dyDescent="0.2">
      <c r="A133" s="1"/>
      <c r="E133" s="44"/>
      <c r="F133" s="44"/>
      <c r="G133" s="44"/>
      <c r="H133" s="44"/>
      <c r="I133" s="15"/>
      <c r="J133" s="15"/>
      <c r="K133" s="15"/>
      <c r="L133" s="1"/>
      <c r="M133" s="42"/>
      <c r="N133" s="42"/>
      <c r="O133" s="42"/>
      <c r="P133" s="42"/>
      <c r="Q133" s="42"/>
      <c r="R133" s="42"/>
      <c r="S133" s="42"/>
      <c r="T133" s="42"/>
      <c r="U133" s="42"/>
      <c r="V133" s="42"/>
      <c r="W133" s="42"/>
      <c r="X133" s="42"/>
      <c r="Y133" s="38">
        <v>76</v>
      </c>
      <c r="Z133" s="38">
        <f t="shared" si="71"/>
        <v>6.3095734448019387</v>
      </c>
      <c r="AA133" s="38">
        <f t="shared" si="49"/>
        <v>45.399177308957434</v>
      </c>
      <c r="AB133" s="38">
        <f t="shared" si="50"/>
        <v>-63.998428805507899</v>
      </c>
      <c r="AC133" s="38">
        <f t="shared" si="51"/>
        <v>-33.531622910190528</v>
      </c>
      <c r="AD133" s="38">
        <f t="shared" si="52"/>
        <v>145.70801493406191</v>
      </c>
      <c r="AE133" s="38">
        <f t="shared" si="72"/>
        <v>11.867554398766906</v>
      </c>
      <c r="AF133" s="38">
        <f t="shared" si="73"/>
        <v>81.709586128554008</v>
      </c>
      <c r="AH133" s="38">
        <v>76</v>
      </c>
      <c r="AI133" s="38">
        <f t="shared" si="53"/>
        <v>7.6E-3</v>
      </c>
      <c r="AJ133" s="38">
        <f t="shared" si="54"/>
        <v>87.128622115884269</v>
      </c>
      <c r="AK133" s="38">
        <f t="shared" si="55"/>
        <v>7.9789658322834273E-6</v>
      </c>
      <c r="AL133" s="38">
        <f t="shared" si="56"/>
        <v>5.1981806367771283E-6</v>
      </c>
      <c r="AM133" s="38">
        <f t="shared" si="57"/>
        <v>125.32952528182706</v>
      </c>
      <c r="AN133" s="38">
        <f t="shared" si="58"/>
        <v>5.9842243742125696E-6</v>
      </c>
      <c r="AO133" s="38">
        <f t="shared" si="59"/>
        <v>4.0540645732368965E-6</v>
      </c>
      <c r="AP133" s="38">
        <f t="shared" si="60"/>
        <v>154.53827800106961</v>
      </c>
      <c r="AQ133" s="38">
        <f t="shared" si="61"/>
        <v>3.9894829161417136E-6</v>
      </c>
      <c r="AR133" s="38">
        <f t="shared" si="62"/>
        <v>3.1978892852750938E-6</v>
      </c>
      <c r="AS133" s="38">
        <f t="shared" si="63"/>
        <v>165.57672396574512</v>
      </c>
      <c r="AT133" s="38">
        <f t="shared" si="64"/>
        <v>1.9947414580708568E-6</v>
      </c>
      <c r="AU133" s="38">
        <f t="shared" si="65"/>
        <v>2.5528938094023915E-6</v>
      </c>
      <c r="AV133" s="38">
        <f t="shared" si="66"/>
        <v>129.9064268063353</v>
      </c>
      <c r="AW133" s="42"/>
      <c r="AX133" s="38">
        <v>25</v>
      </c>
      <c r="AY133" s="38">
        <f t="shared" si="67"/>
        <v>0.9813130219238082</v>
      </c>
      <c r="AZ133" s="38">
        <f t="shared" si="68"/>
        <v>1.2995451591942821E-6</v>
      </c>
      <c r="BA133" s="38">
        <f t="shared" si="69"/>
        <v>3.7792751353676941E-6</v>
      </c>
      <c r="BB133" s="38">
        <f t="shared" si="70"/>
        <v>2.647361689054901E-6</v>
      </c>
      <c r="BC133" s="38">
        <f t="shared" si="74"/>
        <v>2.3329533961532701E-6</v>
      </c>
      <c r="BD133" s="38">
        <f t="shared" si="75"/>
        <v>117.20802430160977</v>
      </c>
      <c r="BE133" s="38"/>
      <c r="BF133" s="38"/>
      <c r="BG133" s="38"/>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row>
    <row r="134" spans="1:194" ht="16.5" customHeight="1" x14ac:dyDescent="0.2">
      <c r="A134" s="1"/>
      <c r="E134" s="44"/>
      <c r="F134" s="44"/>
      <c r="G134" s="44"/>
      <c r="H134" s="44"/>
      <c r="I134" s="15"/>
      <c r="J134" s="15"/>
      <c r="K134" s="15"/>
      <c r="L134" s="1"/>
      <c r="M134" s="42"/>
      <c r="N134" s="42"/>
      <c r="O134" s="42"/>
      <c r="P134" s="42"/>
      <c r="Q134" s="42"/>
      <c r="R134" s="42"/>
      <c r="S134" s="42"/>
      <c r="T134" s="42"/>
      <c r="U134" s="42"/>
      <c r="V134" s="42"/>
      <c r="W134" s="42"/>
      <c r="X134" s="42"/>
      <c r="Y134" s="38">
        <v>77</v>
      </c>
      <c r="Z134" s="38">
        <f t="shared" si="71"/>
        <v>7.0794578438413831</v>
      </c>
      <c r="AA134" s="38">
        <f t="shared" si="49"/>
        <v>44.574331288873886</v>
      </c>
      <c r="AB134" s="38">
        <f t="shared" si="50"/>
        <v>-66.504336525960809</v>
      </c>
      <c r="AC134" s="38">
        <f t="shared" si="51"/>
        <v>-33.730093573819524</v>
      </c>
      <c r="AD134" s="38">
        <f t="shared" si="52"/>
        <v>147.21902380495752</v>
      </c>
      <c r="AE134" s="38">
        <f t="shared" si="72"/>
        <v>10.844237715054362</v>
      </c>
      <c r="AF134" s="38">
        <f t="shared" si="73"/>
        <v>80.714687278996706</v>
      </c>
      <c r="AH134" s="38">
        <v>77</v>
      </c>
      <c r="AI134" s="38">
        <f t="shared" si="53"/>
        <v>7.7000000000000002E-3</v>
      </c>
      <c r="AJ134" s="38">
        <f t="shared" si="54"/>
        <v>84.17125880090623</v>
      </c>
      <c r="AK134" s="38">
        <f t="shared" si="55"/>
        <v>7.8366702285585698E-6</v>
      </c>
      <c r="AL134" s="38">
        <f t="shared" si="56"/>
        <v>5.1981806367771283E-6</v>
      </c>
      <c r="AM134" s="38">
        <f t="shared" si="57"/>
        <v>127.60521635270264</v>
      </c>
      <c r="AN134" s="38">
        <f t="shared" si="58"/>
        <v>5.8775026714189265E-6</v>
      </c>
      <c r="AO134" s="38">
        <f t="shared" si="59"/>
        <v>4.0567808429068288E-6</v>
      </c>
      <c r="AP134" s="38">
        <f t="shared" si="60"/>
        <v>157.13369841784993</v>
      </c>
      <c r="AQ134" s="38">
        <f t="shared" si="61"/>
        <v>3.9183351142792849E-6</v>
      </c>
      <c r="AR134" s="38">
        <f t="shared" si="62"/>
        <v>3.207025275975803E-6</v>
      </c>
      <c r="AS134" s="38">
        <f t="shared" si="63"/>
        <v>167.62407768006199</v>
      </c>
      <c r="AT134" s="38">
        <f t="shared" si="64"/>
        <v>1.9591675571396425E-6</v>
      </c>
      <c r="AU134" s="38">
        <f t="shared" si="65"/>
        <v>2.5680970743108465E-6</v>
      </c>
      <c r="AV134" s="38">
        <f t="shared" si="66"/>
        <v>130.70382554120371</v>
      </c>
      <c r="AW134" s="42"/>
      <c r="AX134" s="38">
        <v>24</v>
      </c>
      <c r="AY134" s="38">
        <f t="shared" si="67"/>
        <v>0.96206050104685592</v>
      </c>
      <c r="AZ134" s="38">
        <f t="shared" si="68"/>
        <v>1.247563352826511E-6</v>
      </c>
      <c r="BA134" s="38">
        <f t="shared" si="69"/>
        <v>3.9999743373397722E-6</v>
      </c>
      <c r="BB134" s="38">
        <f t="shared" si="70"/>
        <v>2.5414672214927052E-6</v>
      </c>
      <c r="BC134" s="38">
        <f t="shared" si="74"/>
        <v>2.3086315260143564E-6</v>
      </c>
      <c r="BD134" s="38">
        <f t="shared" si="75"/>
        <v>114.90302466342168</v>
      </c>
      <c r="BE134" s="38"/>
      <c r="BF134" s="38"/>
      <c r="BG134" s="38"/>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row>
    <row r="135" spans="1:194" ht="16.5" customHeight="1" x14ac:dyDescent="0.2">
      <c r="A135" s="1"/>
      <c r="E135" s="44"/>
      <c r="F135" s="44"/>
      <c r="G135" s="44"/>
      <c r="H135" s="44"/>
      <c r="I135" s="15"/>
      <c r="J135" s="15"/>
      <c r="K135" s="15"/>
      <c r="L135" s="1"/>
      <c r="M135" s="42"/>
      <c r="N135" s="42"/>
      <c r="O135" s="42"/>
      <c r="P135" s="42"/>
      <c r="Q135" s="42"/>
      <c r="R135" s="42"/>
      <c r="S135" s="42"/>
      <c r="T135" s="42"/>
      <c r="U135" s="42"/>
      <c r="V135" s="42"/>
      <c r="W135" s="42"/>
      <c r="X135" s="42"/>
      <c r="Y135" s="38">
        <v>78</v>
      </c>
      <c r="Z135" s="38">
        <f t="shared" si="71"/>
        <v>7.9432823472428158</v>
      </c>
      <c r="AA135" s="38">
        <f t="shared" si="49"/>
        <v>43.718677187085191</v>
      </c>
      <c r="AB135" s="38">
        <f t="shared" si="50"/>
        <v>-68.821304196241684</v>
      </c>
      <c r="AC135" s="38">
        <f t="shared" si="51"/>
        <v>-33.903616550162866</v>
      </c>
      <c r="AD135" s="38">
        <f t="shared" si="52"/>
        <v>148.42640906812846</v>
      </c>
      <c r="AE135" s="38">
        <f t="shared" si="72"/>
        <v>9.8150606369223254</v>
      </c>
      <c r="AF135" s="38">
        <f t="shared" si="73"/>
        <v>79.60510487188678</v>
      </c>
      <c r="AH135" s="38">
        <v>78</v>
      </c>
      <c r="AI135" s="38">
        <f t="shared" si="53"/>
        <v>7.8000000000000005E-3</v>
      </c>
      <c r="AJ135" s="38">
        <f t="shared" si="54"/>
        <v>81.130828615610895</v>
      </c>
      <c r="AK135" s="38">
        <f t="shared" si="55"/>
        <v>7.6955737304838623E-6</v>
      </c>
      <c r="AL135" s="38">
        <f t="shared" si="56"/>
        <v>5.1981806367771283E-6</v>
      </c>
      <c r="AM135" s="38">
        <f t="shared" si="57"/>
        <v>129.94482738028742</v>
      </c>
      <c r="AN135" s="38">
        <f t="shared" si="58"/>
        <v>5.7716802978628963E-6</v>
      </c>
      <c r="AO135" s="38">
        <f t="shared" si="59"/>
        <v>4.0595697625660715E-6</v>
      </c>
      <c r="AP135" s="38">
        <f t="shared" si="60"/>
        <v>159.79492276985562</v>
      </c>
      <c r="AQ135" s="38">
        <f t="shared" si="61"/>
        <v>3.8477868652419312E-6</v>
      </c>
      <c r="AR135" s="38">
        <f t="shared" si="62"/>
        <v>3.2163724845285269E-6</v>
      </c>
      <c r="AS135" s="38">
        <f t="shared" si="63"/>
        <v>169.7067274863798</v>
      </c>
      <c r="AT135" s="38">
        <f t="shared" si="64"/>
        <v>1.9238934326209656E-6</v>
      </c>
      <c r="AU135" s="38">
        <f t="shared" si="65"/>
        <v>2.5836027678100868E-6</v>
      </c>
      <c r="AV135" s="38">
        <f t="shared" si="66"/>
        <v>131.50741990761063</v>
      </c>
      <c r="AW135" s="42"/>
      <c r="AX135" s="38">
        <v>23</v>
      </c>
      <c r="AY135" s="38">
        <f t="shared" si="67"/>
        <v>0.94280798016990353</v>
      </c>
      <c r="AZ135" s="38">
        <f t="shared" si="68"/>
        <v>1.1955815464587395E-6</v>
      </c>
      <c r="BA135" s="38">
        <f t="shared" si="69"/>
        <v>4.2398647742659465E-6</v>
      </c>
      <c r="BB135" s="38">
        <f t="shared" si="70"/>
        <v>2.4355727539305087E-6</v>
      </c>
      <c r="BC135" s="38">
        <f t="shared" si="74"/>
        <v>2.2847085021882468E-6</v>
      </c>
      <c r="BD135" s="38">
        <f t="shared" si="75"/>
        <v>112.43349309171643</v>
      </c>
      <c r="BE135" s="38"/>
      <c r="BF135" s="38"/>
      <c r="BG135" s="38"/>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row>
    <row r="136" spans="1:194" ht="16.5" customHeight="1" x14ac:dyDescent="0.2">
      <c r="A136" s="1"/>
      <c r="E136" s="44"/>
      <c r="F136" s="44"/>
      <c r="G136" s="44"/>
      <c r="H136" s="44"/>
      <c r="I136" s="15"/>
      <c r="J136" s="15"/>
      <c r="K136" s="15"/>
      <c r="L136" s="1"/>
      <c r="M136" s="42"/>
      <c r="N136" s="42"/>
      <c r="O136" s="42"/>
      <c r="P136" s="42"/>
      <c r="Q136" s="42"/>
      <c r="R136" s="42"/>
      <c r="S136" s="42"/>
      <c r="T136" s="42"/>
      <c r="U136" s="42"/>
      <c r="V136" s="42"/>
      <c r="W136" s="42"/>
      <c r="X136" s="42"/>
      <c r="Y136" s="38">
        <v>79</v>
      </c>
      <c r="Z136" s="38">
        <f t="shared" si="71"/>
        <v>8.9125093813374683</v>
      </c>
      <c r="AA136" s="38">
        <f t="shared" si="49"/>
        <v>42.836855351799571</v>
      </c>
      <c r="AB136" s="38">
        <f t="shared" si="50"/>
        <v>-70.949578888896355</v>
      </c>
      <c r="AC136" s="38">
        <f t="shared" si="51"/>
        <v>-34.058249935019816</v>
      </c>
      <c r="AD136" s="38">
        <f t="shared" si="52"/>
        <v>149.31906508251555</v>
      </c>
      <c r="AE136" s="38">
        <f t="shared" si="72"/>
        <v>8.7786054167797545</v>
      </c>
      <c r="AF136" s="38">
        <f t="shared" si="73"/>
        <v>78.369486193619196</v>
      </c>
      <c r="AH136" s="38">
        <v>79</v>
      </c>
      <c r="AI136" s="38">
        <f t="shared" si="53"/>
        <v>7.9000000000000008E-3</v>
      </c>
      <c r="AJ136" s="38">
        <f t="shared" si="54"/>
        <v>78.010332097515615</v>
      </c>
      <c r="AK136" s="38">
        <f t="shared" si="55"/>
        <v>7.55594899997775E-6</v>
      </c>
      <c r="AL136" s="38">
        <f t="shared" si="56"/>
        <v>5.1981806367771283E-6</v>
      </c>
      <c r="AM136" s="38">
        <f t="shared" si="57"/>
        <v>132.34604945096171</v>
      </c>
      <c r="AN136" s="38">
        <f t="shared" si="58"/>
        <v>5.6669617499833114E-6</v>
      </c>
      <c r="AO136" s="38">
        <f t="shared" si="59"/>
        <v>4.0624282977752197E-6</v>
      </c>
      <c r="AP136" s="38">
        <f t="shared" si="60"/>
        <v>162.5187833153243</v>
      </c>
      <c r="AQ136" s="38">
        <f t="shared" si="61"/>
        <v>3.777974499988875E-6</v>
      </c>
      <c r="AR136" s="38">
        <f t="shared" si="62"/>
        <v>3.2259186798650235E-6</v>
      </c>
      <c r="AS136" s="38">
        <f t="shared" si="63"/>
        <v>171.82125627271807</v>
      </c>
      <c r="AT136" s="38">
        <f t="shared" si="64"/>
        <v>1.8889872499944375E-6</v>
      </c>
      <c r="AU136" s="38">
        <f t="shared" si="65"/>
        <v>2.5993885567030454E-6</v>
      </c>
      <c r="AV136" s="38">
        <f t="shared" si="66"/>
        <v>132.31568200297036</v>
      </c>
      <c r="AW136" s="42"/>
      <c r="AX136" s="38">
        <v>22</v>
      </c>
      <c r="AY136" s="38">
        <f t="shared" si="67"/>
        <v>0.92355545929295113</v>
      </c>
      <c r="AZ136" s="38">
        <f t="shared" si="68"/>
        <v>1.143599740090968E-6</v>
      </c>
      <c r="BA136" s="38">
        <f t="shared" si="69"/>
        <v>4.5015634327308629E-6</v>
      </c>
      <c r="BB136" s="38">
        <f t="shared" si="70"/>
        <v>2.3296782863683125E-6</v>
      </c>
      <c r="BC136" s="38">
        <f t="shared" si="74"/>
        <v>2.2611828600590938E-6</v>
      </c>
      <c r="BD136" s="38">
        <f t="shared" si="75"/>
        <v>109.79454782181678</v>
      </c>
      <c r="BE136" s="38"/>
      <c r="BF136" s="38"/>
      <c r="BG136" s="38"/>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row>
    <row r="137" spans="1:194" ht="16.5" customHeight="1" x14ac:dyDescent="0.2">
      <c r="A137" s="1"/>
      <c r="E137" s="44"/>
      <c r="I137" s="1"/>
      <c r="J137" s="1"/>
      <c r="K137" s="1"/>
      <c r="L137" s="1"/>
      <c r="M137" s="42"/>
      <c r="N137" s="42"/>
      <c r="O137" s="42"/>
      <c r="P137" s="42"/>
      <c r="Q137" s="42"/>
      <c r="R137" s="42"/>
      <c r="S137" s="42"/>
      <c r="T137" s="42"/>
      <c r="U137" s="42"/>
      <c r="V137" s="42"/>
      <c r="W137" s="42"/>
      <c r="X137" s="42"/>
      <c r="Y137" s="38">
        <v>80</v>
      </c>
      <c r="Z137" s="38">
        <f t="shared" si="71"/>
        <v>10</v>
      </c>
      <c r="AA137" s="38">
        <f t="shared" si="49"/>
        <v>41.93307452592812</v>
      </c>
      <c r="AB137" s="38">
        <f t="shared" si="50"/>
        <v>-72.893734458501143</v>
      </c>
      <c r="AC137" s="38">
        <f t="shared" si="51"/>
        <v>-34.19993263147478</v>
      </c>
      <c r="AD137" s="38">
        <f t="shared" si="52"/>
        <v>149.88982251567833</v>
      </c>
      <c r="AE137" s="38">
        <f t="shared" si="72"/>
        <v>7.7331418944533397</v>
      </c>
      <c r="AF137" s="38">
        <f t="shared" si="73"/>
        <v>76.99608805717719</v>
      </c>
      <c r="AH137" s="38">
        <v>80</v>
      </c>
      <c r="AI137" s="38">
        <f t="shared" si="53"/>
        <v>8.0000000000000002E-3</v>
      </c>
      <c r="AJ137" s="38">
        <f t="shared" si="54"/>
        <v>74.812848799941634</v>
      </c>
      <c r="AK137" s="38">
        <f t="shared" si="55"/>
        <v>7.4180392242935748E-6</v>
      </c>
      <c r="AL137" s="38">
        <f t="shared" si="56"/>
        <v>5.1981806367771283E-6</v>
      </c>
      <c r="AM137" s="38">
        <f t="shared" si="57"/>
        <v>134.8065128484449</v>
      </c>
      <c r="AN137" s="38">
        <f t="shared" si="58"/>
        <v>5.5635294182201802E-6</v>
      </c>
      <c r="AO137" s="38">
        <f t="shared" si="59"/>
        <v>4.0653533511832089E-6</v>
      </c>
      <c r="AP137" s="38">
        <f t="shared" si="60"/>
        <v>165.3020628929541</v>
      </c>
      <c r="AQ137" s="38">
        <f t="shared" si="61"/>
        <v>3.7090196121467874E-6</v>
      </c>
      <c r="AR137" s="38">
        <f t="shared" si="62"/>
        <v>3.2356515682853725E-6</v>
      </c>
      <c r="AS137" s="38">
        <f t="shared" si="63"/>
        <v>173.96429302659496</v>
      </c>
      <c r="AT137" s="38">
        <f t="shared" si="64"/>
        <v>1.8545098060733937E-6</v>
      </c>
      <c r="AU137" s="38">
        <f t="shared" si="65"/>
        <v>2.6154323039974651E-6</v>
      </c>
      <c r="AV137" s="38">
        <f t="shared" si="66"/>
        <v>133.12715484972301</v>
      </c>
      <c r="AW137" s="42"/>
      <c r="AX137" s="38">
        <v>21</v>
      </c>
      <c r="AY137" s="38">
        <f t="shared" si="67"/>
        <v>0.90430293841599885</v>
      </c>
      <c r="AZ137" s="38">
        <f t="shared" si="68"/>
        <v>1.0916179337231969E-6</v>
      </c>
      <c r="BA137" s="38">
        <f t="shared" si="69"/>
        <v>4.7881857729543417E-6</v>
      </c>
      <c r="BB137" s="38">
        <f t="shared" si="70"/>
        <v>2.2237838188061163E-6</v>
      </c>
      <c r="BC137" s="38">
        <f t="shared" si="74"/>
        <v>2.2380528629107189E-6</v>
      </c>
      <c r="BD137" s="38">
        <f t="shared" si="75"/>
        <v>106.98135081051376</v>
      </c>
      <c r="BE137" s="38"/>
      <c r="BF137" s="38"/>
      <c r="BG137" s="38"/>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row>
    <row r="138" spans="1:194" ht="16.5" customHeight="1" x14ac:dyDescent="0.2">
      <c r="A138" s="1"/>
      <c r="E138" s="44"/>
      <c r="I138" s="1"/>
      <c r="J138" s="1"/>
      <c r="K138" s="1"/>
      <c r="L138" s="1"/>
      <c r="M138" s="42"/>
      <c r="N138" s="42"/>
      <c r="O138" s="42"/>
      <c r="P138" s="42"/>
      <c r="Q138" s="42"/>
      <c r="R138" s="42"/>
      <c r="S138" s="42"/>
      <c r="T138" s="42"/>
      <c r="U138" s="42"/>
      <c r="V138" s="42"/>
      <c r="W138" s="42"/>
      <c r="X138" s="42"/>
      <c r="Y138" s="38">
        <v>81</v>
      </c>
      <c r="Z138" s="38">
        <f t="shared" si="71"/>
        <v>11.22018454301964</v>
      </c>
      <c r="AA138" s="38">
        <f t="shared" si="49"/>
        <v>41.011052968009771</v>
      </c>
      <c r="AB138" s="38">
        <f t="shared" si="50"/>
        <v>-74.661507301038682</v>
      </c>
      <c r="AC138" s="38">
        <f t="shared" si="51"/>
        <v>-34.334477726780662</v>
      </c>
      <c r="AD138" s="38">
        <f t="shared" si="52"/>
        <v>150.13457923686514</v>
      </c>
      <c r="AE138" s="38">
        <f t="shared" si="72"/>
        <v>6.6765752412291093</v>
      </c>
      <c r="AF138" s="38">
        <f t="shared" si="73"/>
        <v>75.473071935826454</v>
      </c>
      <c r="AH138" s="38">
        <v>81</v>
      </c>
      <c r="AI138" s="38">
        <f t="shared" si="53"/>
        <v>8.1000000000000013E-3</v>
      </c>
      <c r="AJ138" s="38">
        <f t="shared" si="54"/>
        <v>71.541534252866711</v>
      </c>
      <c r="AK138" s="38">
        <f t="shared" si="55"/>
        <v>7.282059462708105E-6</v>
      </c>
      <c r="AL138" s="38">
        <f t="shared" si="56"/>
        <v>5.1981806367771283E-6</v>
      </c>
      <c r="AM138" s="38">
        <f t="shared" si="57"/>
        <v>137.32378939241903</v>
      </c>
      <c r="AN138" s="38">
        <f t="shared" si="58"/>
        <v>5.4615445970310777E-6</v>
      </c>
      <c r="AO138" s="38">
        <f t="shared" si="59"/>
        <v>4.0683417667204868E-6</v>
      </c>
      <c r="AP138" s="38">
        <f t="shared" si="60"/>
        <v>168.14150028977451</v>
      </c>
      <c r="AQ138" s="38">
        <f t="shared" si="61"/>
        <v>3.6410297313540525E-6</v>
      </c>
      <c r="AR138" s="38">
        <f t="shared" si="62"/>
        <v>3.245558816355318E-6</v>
      </c>
      <c r="AS138" s="38">
        <f t="shared" si="63"/>
        <v>176.13252050410898</v>
      </c>
      <c r="AT138" s="38">
        <f t="shared" si="64"/>
        <v>1.8205148656770262E-6</v>
      </c>
      <c r="AU138" s="38">
        <f t="shared" si="65"/>
        <v>2.6317121062140548E-6</v>
      </c>
      <c r="AV138" s="38">
        <f t="shared" si="66"/>
        <v>133.94045364346175</v>
      </c>
      <c r="AW138" s="42"/>
      <c r="AX138" s="38">
        <v>20</v>
      </c>
      <c r="AY138" s="38">
        <f t="shared" si="67"/>
        <v>0.88505041753904656</v>
      </c>
      <c r="AZ138" s="38">
        <f t="shared" si="68"/>
        <v>1.0396361273554257E-6</v>
      </c>
      <c r="BA138" s="38">
        <f t="shared" si="69"/>
        <v>5.1034703472001679E-6</v>
      </c>
      <c r="BB138" s="38">
        <f t="shared" si="70"/>
        <v>2.1178893512439206E-6</v>
      </c>
      <c r="BC138" s="38">
        <f t="shared" si="74"/>
        <v>2.2153165079649125E-6</v>
      </c>
      <c r="BD138" s="38">
        <f t="shared" si="75"/>
        <v>103.98911721364121</v>
      </c>
      <c r="BE138" s="38"/>
      <c r="BF138" s="38"/>
      <c r="BG138" s="38"/>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row>
    <row r="139" spans="1:194" ht="16.5" customHeight="1" x14ac:dyDescent="0.2">
      <c r="A139" s="1"/>
      <c r="E139" s="44"/>
      <c r="I139" s="1"/>
      <c r="J139" s="1"/>
      <c r="K139" s="1"/>
      <c r="L139" s="1"/>
      <c r="M139" s="42"/>
      <c r="N139" s="42"/>
      <c r="O139" s="42"/>
      <c r="P139" s="42"/>
      <c r="Q139" s="42"/>
      <c r="R139" s="42"/>
      <c r="S139" s="42"/>
      <c r="T139" s="42"/>
      <c r="U139" s="42"/>
      <c r="V139" s="42"/>
      <c r="W139" s="42"/>
      <c r="X139" s="42"/>
      <c r="Y139" s="38">
        <v>82</v>
      </c>
      <c r="Z139" s="38">
        <f t="shared" si="71"/>
        <v>12.589254117941671</v>
      </c>
      <c r="AA139" s="38">
        <f t="shared" si="49"/>
        <v>40.074006950210901</v>
      </c>
      <c r="AB139" s="38">
        <f t="shared" si="50"/>
        <v>-76.262763075004671</v>
      </c>
      <c r="AC139" s="38">
        <f t="shared" si="51"/>
        <v>-34.467613012598783</v>
      </c>
      <c r="AD139" s="38">
        <f t="shared" si="52"/>
        <v>150.05169382362371</v>
      </c>
      <c r="AE139" s="38">
        <f t="shared" si="72"/>
        <v>5.6063939376121183</v>
      </c>
      <c r="AF139" s="38">
        <f t="shared" si="73"/>
        <v>73.788930748619038</v>
      </c>
      <c r="AH139" s="38">
        <v>82</v>
      </c>
      <c r="AI139" s="38">
        <f t="shared" si="53"/>
        <v>8.199999999999999E-3</v>
      </c>
      <c r="AJ139" s="38">
        <f t="shared" si="54"/>
        <v>68.199616848798485</v>
      </c>
      <c r="AK139" s="38">
        <f t="shared" si="55"/>
        <v>7.1481981317578621E-6</v>
      </c>
      <c r="AL139" s="38">
        <f t="shared" si="56"/>
        <v>5.1981806367771283E-6</v>
      </c>
      <c r="AM139" s="38">
        <f t="shared" si="57"/>
        <v>139.89539483484955</v>
      </c>
      <c r="AN139" s="38">
        <f t="shared" si="58"/>
        <v>5.3611485988183953E-6</v>
      </c>
      <c r="AO139" s="38">
        <f t="shared" si="59"/>
        <v>4.0713903338078146E-6</v>
      </c>
      <c r="AP139" s="38">
        <f t="shared" si="60"/>
        <v>171.03379555790167</v>
      </c>
      <c r="AQ139" s="38">
        <f t="shared" si="61"/>
        <v>3.574099065878931E-6</v>
      </c>
      <c r="AR139" s="38">
        <f t="shared" si="62"/>
        <v>3.2556280726348109E-6</v>
      </c>
      <c r="AS139" s="38">
        <f t="shared" si="63"/>
        <v>178.322682125938</v>
      </c>
      <c r="AT139" s="38">
        <f t="shared" si="64"/>
        <v>1.7870495329394655E-6</v>
      </c>
      <c r="AU139" s="38">
        <f t="shared" si="65"/>
        <v>2.6482063264051301E-6</v>
      </c>
      <c r="AV139" s="38">
        <f t="shared" si="66"/>
        <v>134.75426633142425</v>
      </c>
      <c r="AW139" s="42"/>
      <c r="AX139" s="38">
        <v>19</v>
      </c>
      <c r="AY139" s="38">
        <f t="shared" si="67"/>
        <v>0.86579789666209428</v>
      </c>
      <c r="AZ139" s="38">
        <f t="shared" si="68"/>
        <v>9.8765432098765458E-7</v>
      </c>
      <c r="BA139" s="38">
        <f t="shared" si="69"/>
        <v>5.4519427713666082E-6</v>
      </c>
      <c r="BB139" s="38">
        <f t="shared" si="70"/>
        <v>2.0119948836817249E-6</v>
      </c>
      <c r="BC139" s="38">
        <f t="shared" si="74"/>
        <v>2.1929715332714173E-6</v>
      </c>
      <c r="BD139" s="38">
        <f t="shared" si="75"/>
        <v>100.81312468788587</v>
      </c>
      <c r="BE139" s="38"/>
      <c r="BF139" s="38"/>
      <c r="BG139" s="38"/>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row>
    <row r="140" spans="1:194" ht="16.5" customHeight="1" x14ac:dyDescent="0.2">
      <c r="A140" s="1"/>
      <c r="E140" s="44"/>
      <c r="I140" s="1"/>
      <c r="J140" s="1"/>
      <c r="K140" s="1"/>
      <c r="L140" s="1"/>
      <c r="M140" s="42"/>
      <c r="N140" s="42"/>
      <c r="O140" s="42"/>
      <c r="P140" s="42"/>
      <c r="Q140" s="42"/>
      <c r="R140" s="42"/>
      <c r="S140" s="42"/>
      <c r="T140" s="42"/>
      <c r="U140" s="42"/>
      <c r="V140" s="42"/>
      <c r="W140" s="42"/>
      <c r="X140" s="42"/>
      <c r="Y140" s="38">
        <v>83</v>
      </c>
      <c r="Z140" s="38">
        <f t="shared" si="71"/>
        <v>14.125375446227562</v>
      </c>
      <c r="AA140" s="38">
        <f t="shared" si="49"/>
        <v>39.124671650826116</v>
      </c>
      <c r="AB140" s="38">
        <f t="shared" si="50"/>
        <v>-77.708639588203297</v>
      </c>
      <c r="AC140" s="38">
        <f t="shared" si="51"/>
        <v>-34.605048063424782</v>
      </c>
      <c r="AD140" s="38">
        <f t="shared" si="52"/>
        <v>149.64171415388981</v>
      </c>
      <c r="AE140" s="38">
        <f t="shared" si="72"/>
        <v>4.519623587401334</v>
      </c>
      <c r="AF140" s="38">
        <f t="shared" si="73"/>
        <v>71.93307456568651</v>
      </c>
      <c r="AH140" s="38">
        <v>83</v>
      </c>
      <c r="AI140" s="38">
        <f t="shared" si="53"/>
        <v>8.3000000000000001E-3</v>
      </c>
      <c r="AJ140" s="38">
        <f t="shared" si="54"/>
        <v>64.790394656739849</v>
      </c>
      <c r="AK140" s="38">
        <f t="shared" si="55"/>
        <v>7.0166185861999796E-6</v>
      </c>
      <c r="AL140" s="38">
        <f t="shared" si="56"/>
        <v>5.1981806367771283E-6</v>
      </c>
      <c r="AM140" s="38">
        <f t="shared" si="57"/>
        <v>142.51879131163867</v>
      </c>
      <c r="AN140" s="38">
        <f t="shared" si="58"/>
        <v>5.262463939649984E-6</v>
      </c>
      <c r="AO140" s="38">
        <f t="shared" si="59"/>
        <v>4.0744957915721345E-6</v>
      </c>
      <c r="AP140" s="38">
        <f t="shared" si="60"/>
        <v>173.97561526649309</v>
      </c>
      <c r="AQ140" s="38">
        <f t="shared" si="61"/>
        <v>3.5083092930999898E-6</v>
      </c>
      <c r="AR140" s="38">
        <f t="shared" si="62"/>
        <v>3.2658469882207337E-6</v>
      </c>
      <c r="AS140" s="38">
        <f t="shared" si="63"/>
        <v>180.53158811280088</v>
      </c>
      <c r="AT140" s="38">
        <f t="shared" si="64"/>
        <v>1.7541546465499949E-6</v>
      </c>
      <c r="AU140" s="38">
        <f t="shared" si="65"/>
        <v>2.6648936231171997E-6</v>
      </c>
      <c r="AV140" s="38">
        <f t="shared" si="66"/>
        <v>135.56735359349025</v>
      </c>
      <c r="AW140" s="42"/>
      <c r="AX140" s="38">
        <v>18</v>
      </c>
      <c r="AY140" s="38">
        <f t="shared" si="67"/>
        <v>0.84654537578514177</v>
      </c>
      <c r="AZ140" s="38">
        <f t="shared" si="68"/>
        <v>9.3567251461988277E-7</v>
      </c>
      <c r="BA140" s="38">
        <f t="shared" si="69"/>
        <v>5.839134353773769E-6</v>
      </c>
      <c r="BB140" s="38">
        <f t="shared" si="70"/>
        <v>1.9061004161195279E-6</v>
      </c>
      <c r="BC140" s="38">
        <f t="shared" si="74"/>
        <v>2.171015425395265E-6</v>
      </c>
      <c r="BD140" s="38">
        <f t="shared" si="75"/>
        <v>97.448722466280117</v>
      </c>
      <c r="BE140" s="38"/>
      <c r="BF140" s="38"/>
      <c r="BG140" s="38"/>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row>
    <row r="141" spans="1:194" ht="16.5" customHeight="1" x14ac:dyDescent="0.2">
      <c r="A141" s="1"/>
      <c r="E141" s="44"/>
      <c r="I141" s="1"/>
      <c r="J141" s="1"/>
      <c r="K141" s="1"/>
      <c r="L141" s="1"/>
      <c r="M141" s="42"/>
      <c r="N141" s="42"/>
      <c r="O141" s="42"/>
      <c r="P141" s="42"/>
      <c r="Q141" s="42"/>
      <c r="R141" s="42"/>
      <c r="S141" s="42"/>
      <c r="T141" s="42"/>
      <c r="U141" s="42"/>
      <c r="V141" s="42"/>
      <c r="W141" s="42"/>
      <c r="X141" s="42"/>
      <c r="Y141" s="38">
        <v>84</v>
      </c>
      <c r="Z141" s="38">
        <f t="shared" si="71"/>
        <v>15.848931924611147</v>
      </c>
      <c r="AA141" s="38">
        <f t="shared" si="49"/>
        <v>38.165341549130886</v>
      </c>
      <c r="AB141" s="38">
        <f t="shared" si="50"/>
        <v>-79.010874184563775</v>
      </c>
      <c r="AC141" s="38">
        <f t="shared" si="51"/>
        <v>-34.752546595801313</v>
      </c>
      <c r="AD141" s="38">
        <f t="shared" si="52"/>
        <v>148.90747005303299</v>
      </c>
      <c r="AE141" s="38">
        <f t="shared" si="72"/>
        <v>3.4127949533295734</v>
      </c>
      <c r="AF141" s="38">
        <f t="shared" si="73"/>
        <v>69.89659586846922</v>
      </c>
      <c r="AH141" s="38">
        <v>84</v>
      </c>
      <c r="AI141" s="38">
        <f t="shared" si="53"/>
        <v>8.3999999999999995E-3</v>
      </c>
      <c r="AJ141" s="38">
        <f t="shared" si="54"/>
        <v>61.317232167394238</v>
      </c>
      <c r="AK141" s="38">
        <f t="shared" si="55"/>
        <v>6.8874607581928388E-6</v>
      </c>
      <c r="AL141" s="38">
        <f t="shared" si="56"/>
        <v>5.1981806367771283E-6</v>
      </c>
      <c r="AM141" s="38">
        <f t="shared" si="57"/>
        <v>145.19138984719012</v>
      </c>
      <c r="AN141" s="38">
        <f t="shared" si="58"/>
        <v>5.1655955686446278E-6</v>
      </c>
      <c r="AO141" s="38">
        <f t="shared" si="59"/>
        <v>4.0776548330612226E-6</v>
      </c>
      <c r="AP141" s="38">
        <f t="shared" si="60"/>
        <v>176.96359767606029</v>
      </c>
      <c r="AQ141" s="38">
        <f t="shared" si="61"/>
        <v>3.4437303790964194E-6</v>
      </c>
      <c r="AR141" s="38">
        <f t="shared" si="62"/>
        <v>3.2762032360975705E-6</v>
      </c>
      <c r="AS141" s="38">
        <f t="shared" si="63"/>
        <v>182.75612087898941</v>
      </c>
      <c r="AT141" s="38">
        <f t="shared" si="64"/>
        <v>1.7218651895482097E-6</v>
      </c>
      <c r="AU141" s="38">
        <f t="shared" si="65"/>
        <v>2.6817529755463351E-6</v>
      </c>
      <c r="AV141" s="38">
        <f t="shared" si="66"/>
        <v>136.37854829659071</v>
      </c>
      <c r="AW141" s="42"/>
      <c r="AX141" s="38">
        <v>17</v>
      </c>
      <c r="AY141" s="38">
        <f t="shared" si="67"/>
        <v>0.8272928549081896</v>
      </c>
      <c r="AZ141" s="38">
        <f t="shared" si="68"/>
        <v>8.8369070825211191E-7</v>
      </c>
      <c r="BA141" s="38">
        <f t="shared" si="69"/>
        <v>6.2718778870523525E-6</v>
      </c>
      <c r="BB141" s="38">
        <f t="shared" si="70"/>
        <v>1.8002059485573328E-6</v>
      </c>
      <c r="BC141" s="38">
        <f t="shared" si="74"/>
        <v>2.1494454278419442E-6</v>
      </c>
      <c r="BD141" s="38">
        <f t="shared" si="75"/>
        <v>93.891340159248003</v>
      </c>
      <c r="BE141" s="38"/>
      <c r="BF141" s="38"/>
      <c r="BG141" s="38"/>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row>
    <row r="142" spans="1:194" ht="16.5" customHeight="1" x14ac:dyDescent="0.2">
      <c r="A142" s="1"/>
      <c r="E142" s="44"/>
      <c r="I142" s="1"/>
      <c r="J142" s="1"/>
      <c r="K142" s="1"/>
      <c r="L142" s="1"/>
      <c r="M142" s="42"/>
      <c r="N142" s="42"/>
      <c r="O142" s="42"/>
      <c r="P142" s="42"/>
      <c r="Q142" s="42"/>
      <c r="R142" s="42"/>
      <c r="S142" s="42"/>
      <c r="T142" s="42"/>
      <c r="U142" s="42"/>
      <c r="V142" s="42"/>
      <c r="W142" s="42"/>
      <c r="X142" s="42"/>
      <c r="Y142" s="38">
        <v>85</v>
      </c>
      <c r="Z142" s="38">
        <f t="shared" si="71"/>
        <v>17.782794100389236</v>
      </c>
      <c r="AA142" s="38">
        <f t="shared" si="49"/>
        <v>37.197920424910997</v>
      </c>
      <c r="AB142" s="38">
        <f t="shared" si="50"/>
        <v>-80.181301587953598</v>
      </c>
      <c r="AC142" s="38">
        <f t="shared" si="51"/>
        <v>-34.915982755016529</v>
      </c>
      <c r="AD142" s="38">
        <f t="shared" si="52"/>
        <v>147.85452033882203</v>
      </c>
      <c r="AE142" s="38">
        <f t="shared" si="72"/>
        <v>2.281937669894468</v>
      </c>
      <c r="AF142" s="38">
        <f t="shared" si="73"/>
        <v>67.673218750868429</v>
      </c>
      <c r="AH142" s="38">
        <v>85</v>
      </c>
      <c r="AI142" s="38">
        <f t="shared" si="53"/>
        <v>8.5000000000000006E-3</v>
      </c>
      <c r="AJ142" s="38">
        <f t="shared" si="54"/>
        <v>57.783556972818516</v>
      </c>
      <c r="AK142" s="38">
        <f t="shared" si="55"/>
        <v>6.7608428224348763E-6</v>
      </c>
      <c r="AL142" s="38">
        <f t="shared" si="56"/>
        <v>5.1981806367771283E-6</v>
      </c>
      <c r="AM142" s="38">
        <f t="shared" si="57"/>
        <v>147.91055290941611</v>
      </c>
      <c r="AN142" s="38">
        <f t="shared" si="58"/>
        <v>5.0706321168261564E-6</v>
      </c>
      <c r="AO142" s="38">
        <f t="shared" si="59"/>
        <v>4.0808641094492217E-6</v>
      </c>
      <c r="AP142" s="38">
        <f t="shared" si="60"/>
        <v>179.99435782318196</v>
      </c>
      <c r="AQ142" s="38">
        <f t="shared" si="61"/>
        <v>3.3804214112174381E-6</v>
      </c>
      <c r="AR142" s="38">
        <f t="shared" si="62"/>
        <v>3.2866845292994671E-6</v>
      </c>
      <c r="AS142" s="38">
        <f t="shared" si="63"/>
        <v>184.99323970778539</v>
      </c>
      <c r="AT142" s="38">
        <f t="shared" si="64"/>
        <v>1.6902107056087191E-6</v>
      </c>
      <c r="AU142" s="38">
        <f t="shared" si="65"/>
        <v>2.6987637051446066E-6</v>
      </c>
      <c r="AV142" s="38">
        <f t="shared" si="66"/>
        <v>137.18675449107778</v>
      </c>
      <c r="AW142" s="42"/>
      <c r="AX142" s="38">
        <v>16</v>
      </c>
      <c r="AY142" s="38">
        <f t="shared" si="67"/>
        <v>0.80804033403123721</v>
      </c>
      <c r="AZ142" s="38">
        <f t="shared" si="68"/>
        <v>8.3170890188434042E-7</v>
      </c>
      <c r="BA142" s="38">
        <f t="shared" si="69"/>
        <v>6.7587143619907635E-6</v>
      </c>
      <c r="BB142" s="38">
        <f t="shared" si="70"/>
        <v>1.6943114809951364E-6</v>
      </c>
      <c r="BC142" s="38">
        <f t="shared" si="74"/>
        <v>2.1282585501564375E-6</v>
      </c>
      <c r="BD142" s="38">
        <f t="shared" si="75"/>
        <v>90.136496235981937</v>
      </c>
      <c r="BE142" s="38"/>
      <c r="BF142" s="38"/>
      <c r="BG142" s="38"/>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row>
    <row r="143" spans="1:194" ht="16.5" customHeight="1" x14ac:dyDescent="0.2">
      <c r="A143" s="1"/>
      <c r="E143" s="44"/>
      <c r="I143" s="1"/>
      <c r="J143" s="1"/>
      <c r="K143" s="1"/>
      <c r="L143" s="1"/>
      <c r="M143" s="42"/>
      <c r="N143" s="42"/>
      <c r="O143" s="42"/>
      <c r="P143" s="42"/>
      <c r="Q143" s="42"/>
      <c r="R143" s="42"/>
      <c r="S143" s="42"/>
      <c r="T143" s="42"/>
      <c r="U143" s="42"/>
      <c r="V143" s="42"/>
      <c r="W143" s="42"/>
      <c r="X143" s="42"/>
      <c r="Y143" s="38">
        <v>86</v>
      </c>
      <c r="Z143" s="38">
        <f t="shared" si="71"/>
        <v>19.952623149688794</v>
      </c>
      <c r="AA143" s="38">
        <f t="shared" si="49"/>
        <v>36.223974045577108</v>
      </c>
      <c r="AB143" s="38">
        <f t="shared" si="50"/>
        <v>-81.231497248128704</v>
      </c>
      <c r="AC143" s="38">
        <f t="shared" si="51"/>
        <v>-35.101360271101484</v>
      </c>
      <c r="AD143" s="38">
        <f t="shared" si="52"/>
        <v>146.49190424715357</v>
      </c>
      <c r="AE143" s="38">
        <f t="shared" si="72"/>
        <v>1.1226137744756244</v>
      </c>
      <c r="AF143" s="38">
        <f t="shared" si="73"/>
        <v>65.260406999024866</v>
      </c>
      <c r="AH143" s="38">
        <v>86</v>
      </c>
      <c r="AI143" s="38">
        <f t="shared" si="53"/>
        <v>8.6E-3</v>
      </c>
      <c r="AJ143" s="38">
        <f t="shared" si="54"/>
        <v>54.192856383804049</v>
      </c>
      <c r="AK143" s="38">
        <f t="shared" si="55"/>
        <v>6.6368628600268894E-6</v>
      </c>
      <c r="AL143" s="38">
        <f t="shared" si="56"/>
        <v>5.1981806367771283E-6</v>
      </c>
      <c r="AM143" s="38">
        <f t="shared" si="57"/>
        <v>150.67359701266275</v>
      </c>
      <c r="AN143" s="38">
        <f t="shared" si="58"/>
        <v>4.977647145020166E-6</v>
      </c>
      <c r="AO143" s="38">
        <f t="shared" si="59"/>
        <v>4.084120234225525E-6</v>
      </c>
      <c r="AP143" s="38">
        <f t="shared" si="60"/>
        <v>183.06449250455537</v>
      </c>
      <c r="AQ143" s="38">
        <f t="shared" si="61"/>
        <v>3.3184314300134447E-6</v>
      </c>
      <c r="AR143" s="38">
        <f t="shared" si="62"/>
        <v>3.2972786378958048E-6</v>
      </c>
      <c r="AS143" s="38">
        <f t="shared" si="63"/>
        <v>187.23998473691984</v>
      </c>
      <c r="AT143" s="38">
        <f t="shared" si="64"/>
        <v>1.6592157150067223E-6</v>
      </c>
      <c r="AU143" s="38">
        <f t="shared" si="65"/>
        <v>2.7159054939399601E-6</v>
      </c>
      <c r="AV143" s="38">
        <f t="shared" si="66"/>
        <v>137.99094601438281</v>
      </c>
      <c r="AW143" s="42"/>
      <c r="AX143" s="38">
        <v>15</v>
      </c>
      <c r="AY143" s="38">
        <f t="shared" si="67"/>
        <v>0.78878781315428492</v>
      </c>
      <c r="AZ143" s="38">
        <f t="shared" si="68"/>
        <v>7.7972709551656924E-7</v>
      </c>
      <c r="BA143" s="38">
        <f t="shared" si="69"/>
        <v>7.3104623669209584E-6</v>
      </c>
      <c r="BB143" s="38">
        <f t="shared" si="70"/>
        <v>1.5884170134329407E-6</v>
      </c>
      <c r="BC143" s="38">
        <f t="shared" si="74"/>
        <v>2.1074515776285947E-6</v>
      </c>
      <c r="BD143" s="38">
        <f t="shared" si="75"/>
        <v>86.17980614426439</v>
      </c>
      <c r="BE143" s="38"/>
      <c r="BF143" s="38"/>
      <c r="BG143" s="38"/>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row>
    <row r="144" spans="1:194" ht="16.5" customHeight="1" x14ac:dyDescent="0.2">
      <c r="A144" s="1"/>
      <c r="E144" s="44"/>
      <c r="I144" s="1"/>
      <c r="J144" s="1"/>
      <c r="K144" s="1"/>
      <c r="L144" s="1"/>
      <c r="M144" s="42"/>
      <c r="N144" s="42"/>
      <c r="O144" s="42"/>
      <c r="P144" s="42"/>
      <c r="Q144" s="42"/>
      <c r="R144" s="42"/>
      <c r="S144" s="42"/>
      <c r="T144" s="42"/>
      <c r="U144" s="42"/>
      <c r="V144" s="42"/>
      <c r="W144" s="42"/>
      <c r="X144" s="42"/>
      <c r="Y144" s="38">
        <v>87</v>
      </c>
      <c r="Z144" s="38">
        <f t="shared" si="71"/>
        <v>22.387211385683383</v>
      </c>
      <c r="AA144" s="38">
        <f t="shared" si="49"/>
        <v>35.244781136122548</v>
      </c>
      <c r="AB144" s="38">
        <f t="shared" si="50"/>
        <v>-82.172538067889519</v>
      </c>
      <c r="AC144" s="38">
        <f t="shared" si="51"/>
        <v>-35.314774824527575</v>
      </c>
      <c r="AD144" s="38">
        <f t="shared" si="52"/>
        <v>144.83309953224705</v>
      </c>
      <c r="AE144" s="38">
        <f t="shared" si="72"/>
        <v>-6.9993688405027399E-2</v>
      </c>
      <c r="AF144" s="38">
        <f t="shared" si="73"/>
        <v>62.660561464357528</v>
      </c>
      <c r="AH144" s="38">
        <v>87</v>
      </c>
      <c r="AI144" s="38">
        <f t="shared" si="53"/>
        <v>8.6999999999999994E-3</v>
      </c>
      <c r="AJ144" s="38">
        <f t="shared" si="54"/>
        <v>50.54867398832161</v>
      </c>
      <c r="AK144" s="38">
        <f t="shared" si="55"/>
        <v>6.5156004985306058E-6</v>
      </c>
      <c r="AL144" s="38">
        <f t="shared" si="56"/>
        <v>5.1981806367771283E-6</v>
      </c>
      <c r="AM144" s="38">
        <f t="shared" si="57"/>
        <v>153.47779536598651</v>
      </c>
      <c r="AN144" s="38">
        <f t="shared" si="58"/>
        <v>4.8867003738979537E-6</v>
      </c>
      <c r="AO144" s="38">
        <f t="shared" si="59"/>
        <v>4.0874197873598195E-6</v>
      </c>
      <c r="AP144" s="38">
        <f t="shared" si="60"/>
        <v>186.17058515024817</v>
      </c>
      <c r="AQ144" s="38">
        <f t="shared" si="61"/>
        <v>3.2578002492653029E-6</v>
      </c>
      <c r="AR144" s="38">
        <f t="shared" si="62"/>
        <v>3.3079734048199453E-6</v>
      </c>
      <c r="AS144" s="38">
        <f t="shared" si="63"/>
        <v>189.49348028577722</v>
      </c>
      <c r="AT144" s="38">
        <f t="shared" si="64"/>
        <v>1.6289001246326515E-6</v>
      </c>
      <c r="AU144" s="38">
        <f t="shared" si="65"/>
        <v>2.7331583998316524E-6</v>
      </c>
      <c r="AV144" s="38">
        <f t="shared" si="66"/>
        <v>138.79016476341937</v>
      </c>
      <c r="AW144" s="42"/>
      <c r="AX144" s="38">
        <v>14</v>
      </c>
      <c r="AY144" s="38">
        <f t="shared" si="67"/>
        <v>0.76953529227733264</v>
      </c>
      <c r="AZ144" s="38">
        <f t="shared" si="68"/>
        <v>7.2774528914879817E-7</v>
      </c>
      <c r="BA144" s="38">
        <f t="shared" si="69"/>
        <v>7.9410315154126117E-6</v>
      </c>
      <c r="BB144" s="38">
        <f t="shared" si="70"/>
        <v>1.4825225458707447E-6</v>
      </c>
      <c r="BC144" s="38">
        <f t="shared" si="74"/>
        <v>2.0870210815345907E-6</v>
      </c>
      <c r="BD144" s="38">
        <f t="shared" si="75"/>
        <v>82.016990030554012</v>
      </c>
      <c r="BE144" s="38"/>
      <c r="BF144" s="38"/>
      <c r="BG144" s="38"/>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row>
    <row r="145" spans="1:194" ht="16.5" customHeight="1" x14ac:dyDescent="0.2">
      <c r="A145" s="1"/>
      <c r="E145" s="44"/>
      <c r="I145" s="1"/>
      <c r="J145" s="1"/>
      <c r="K145" s="1"/>
      <c r="L145" s="1"/>
      <c r="M145" s="42"/>
      <c r="N145" s="42"/>
      <c r="O145" s="42"/>
      <c r="P145" s="42"/>
      <c r="Q145" s="42"/>
      <c r="R145" s="42"/>
      <c r="S145" s="42"/>
      <c r="T145" s="42"/>
      <c r="U145" s="42"/>
      <c r="V145" s="42"/>
      <c r="W145" s="42"/>
      <c r="X145" s="42"/>
      <c r="Y145" s="38">
        <v>88</v>
      </c>
      <c r="Z145" s="38">
        <f t="shared" si="71"/>
        <v>25.118864315095859</v>
      </c>
      <c r="AA145" s="38">
        <f t="shared" si="49"/>
        <v>34.261380131821795</v>
      </c>
      <c r="AB145" s="38">
        <f t="shared" si="50"/>
        <v>-83.014853746513893</v>
      </c>
      <c r="AC145" s="38">
        <f t="shared" si="51"/>
        <v>-35.562303980883115</v>
      </c>
      <c r="AD145" s="38">
        <f t="shared" si="52"/>
        <v>142.89703396167636</v>
      </c>
      <c r="AE145" s="38">
        <f t="shared" si="72"/>
        <v>-1.30092384906132</v>
      </c>
      <c r="AF145" s="38">
        <f t="shared" si="73"/>
        <v>59.882180215162464</v>
      </c>
      <c r="AH145" s="38">
        <v>88</v>
      </c>
      <c r="AI145" s="38">
        <f t="shared" si="53"/>
        <v>8.8000000000000005E-3</v>
      </c>
      <c r="AJ145" s="38">
        <f t="shared" si="54"/>
        <v>46.854606154428026</v>
      </c>
      <c r="AK145" s="38">
        <f t="shared" si="55"/>
        <v>6.3971185100173952E-6</v>
      </c>
      <c r="AL145" s="38">
        <f t="shared" si="56"/>
        <v>5.1981806367771283E-6</v>
      </c>
      <c r="AM145" s="38">
        <f t="shared" si="57"/>
        <v>156.32038056416758</v>
      </c>
      <c r="AN145" s="38">
        <f t="shared" si="58"/>
        <v>4.7978388825130456E-6</v>
      </c>
      <c r="AO145" s="38">
        <f t="shared" si="59"/>
        <v>4.0907593194365508E-6</v>
      </c>
      <c r="AP145" s="38">
        <f t="shared" si="60"/>
        <v>189.30921057693689</v>
      </c>
      <c r="AQ145" s="38">
        <f t="shared" si="61"/>
        <v>3.1985592550086976E-6</v>
      </c>
      <c r="AR145" s="38">
        <f t="shared" si="62"/>
        <v>3.3187567605673754E-6</v>
      </c>
      <c r="AS145" s="38">
        <f t="shared" si="63"/>
        <v>191.75093755882088</v>
      </c>
      <c r="AT145" s="38">
        <f t="shared" si="64"/>
        <v>1.5992796275043488E-6</v>
      </c>
      <c r="AU145" s="38">
        <f t="shared" si="65"/>
        <v>2.7505028691193655E-6</v>
      </c>
      <c r="AV145" s="38">
        <f t="shared" si="66"/>
        <v>139.58351869286989</v>
      </c>
      <c r="AW145" s="42"/>
      <c r="AX145" s="38">
        <v>13</v>
      </c>
      <c r="AY145" s="38">
        <f t="shared" si="67"/>
        <v>0.75028277140038024</v>
      </c>
      <c r="AZ145" s="38">
        <f t="shared" si="68"/>
        <v>6.7576348278102668E-7</v>
      </c>
      <c r="BA145" s="38">
        <f t="shared" si="69"/>
        <v>8.6686113021337541E-6</v>
      </c>
      <c r="BB145" s="38">
        <f t="shared" si="70"/>
        <v>1.3766280783085483E-6</v>
      </c>
      <c r="BC145" s="38">
        <f t="shared" si="74"/>
        <v>2.0669634298423798E-6</v>
      </c>
      <c r="BD145" s="38">
        <f t="shared" si="75"/>
        <v>77.643880026167793</v>
      </c>
      <c r="BE145" s="38"/>
      <c r="BF145" s="38"/>
      <c r="BG145" s="38"/>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row>
    <row r="146" spans="1:194" ht="16.5" customHeight="1" x14ac:dyDescent="0.2">
      <c r="A146" s="1"/>
      <c r="E146" s="44"/>
      <c r="I146" s="1"/>
      <c r="J146" s="1"/>
      <c r="K146" s="1"/>
      <c r="L146" s="1"/>
      <c r="M146" s="42"/>
      <c r="N146" s="42"/>
      <c r="O146" s="42"/>
      <c r="P146" s="42"/>
      <c r="Q146" s="42"/>
      <c r="R146" s="42"/>
      <c r="S146" s="42"/>
      <c r="T146" s="42"/>
      <c r="U146" s="42"/>
      <c r="V146" s="42"/>
      <c r="W146" s="42"/>
      <c r="X146" s="42"/>
      <c r="Y146" s="38">
        <v>89</v>
      </c>
      <c r="Z146" s="38">
        <f t="shared" si="71"/>
        <v>28.183829312644594</v>
      </c>
      <c r="AA146" s="38">
        <f t="shared" si="49"/>
        <v>33.274610544148501</v>
      </c>
      <c r="AB146" s="38">
        <f t="shared" si="50"/>
        <v>-83.768145517111904</v>
      </c>
      <c r="AC146" s="38">
        <f t="shared" si="51"/>
        <v>-35.849817452257128</v>
      </c>
      <c r="AD146" s="38">
        <f t="shared" si="52"/>
        <v>140.70894164326944</v>
      </c>
      <c r="AE146" s="38">
        <f t="shared" si="72"/>
        <v>-2.5752069081086262</v>
      </c>
      <c r="AF146" s="38">
        <f t="shared" si="73"/>
        <v>56.940796126157537</v>
      </c>
      <c r="AH146" s="38">
        <v>89</v>
      </c>
      <c r="AI146" s="38">
        <f t="shared" si="53"/>
        <v>8.8999999999999999E-3</v>
      </c>
      <c r="AJ146" s="38">
        <f t="shared" si="54"/>
        <v>43.114298481085214</v>
      </c>
      <c r="AK146" s="38">
        <f t="shared" si="55"/>
        <v>6.2814643527961239E-6</v>
      </c>
      <c r="AL146" s="38">
        <f t="shared" si="56"/>
        <v>5.1981806367771283E-6</v>
      </c>
      <c r="AM146" s="38">
        <f t="shared" si="57"/>
        <v>159.19854731880491</v>
      </c>
      <c r="AN146" s="38">
        <f t="shared" si="58"/>
        <v>4.7110982645970915E-6</v>
      </c>
      <c r="AO146" s="38">
        <f t="shared" si="59"/>
        <v>4.0941353557524201E-6</v>
      </c>
      <c r="AP146" s="38">
        <f t="shared" si="60"/>
        <v>192.47693961284978</v>
      </c>
      <c r="AQ146" s="38">
        <f t="shared" si="61"/>
        <v>3.140732176398062E-6</v>
      </c>
      <c r="AR146" s="38">
        <f t="shared" si="62"/>
        <v>3.3296167367950425E-6</v>
      </c>
      <c r="AS146" s="38">
        <f t="shared" si="63"/>
        <v>194.00965676177759</v>
      </c>
      <c r="AT146" s="38">
        <f t="shared" si="64"/>
        <v>1.570366088199031E-6</v>
      </c>
      <c r="AU146" s="38">
        <f t="shared" si="65"/>
        <v>2.7679197465171539E-6</v>
      </c>
      <c r="AV146" s="38">
        <f t="shared" si="66"/>
        <v>140.370179591903</v>
      </c>
      <c r="AW146" s="42"/>
      <c r="AX146" s="38">
        <v>12</v>
      </c>
      <c r="AY146" s="38">
        <f t="shared" si="67"/>
        <v>0.73103025052342796</v>
      </c>
      <c r="AZ146" s="38">
        <f t="shared" si="68"/>
        <v>6.237816764132555E-7</v>
      </c>
      <c r="BA146" s="38">
        <f t="shared" si="69"/>
        <v>9.5174543866417506E-6</v>
      </c>
      <c r="BB146" s="38">
        <f t="shared" si="70"/>
        <v>1.2707336107463526E-6</v>
      </c>
      <c r="BC146" s="38">
        <f t="shared" si="74"/>
        <v>2.0472747983080775E-6</v>
      </c>
      <c r="BD146" s="38">
        <f t="shared" si="75"/>
        <v>73.05642706964025</v>
      </c>
      <c r="BE146" s="38"/>
      <c r="BF146" s="38"/>
      <c r="BG146" s="38"/>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row>
    <row r="147" spans="1:194" ht="16.5" customHeight="1" x14ac:dyDescent="0.2">
      <c r="A147" s="1"/>
      <c r="E147" s="44"/>
      <c r="I147" s="1"/>
      <c r="J147" s="1"/>
      <c r="K147" s="1"/>
      <c r="L147" s="1"/>
      <c r="M147" s="42"/>
      <c r="N147" s="42"/>
      <c r="O147" s="42"/>
      <c r="P147" s="42"/>
      <c r="Q147" s="42"/>
      <c r="R147" s="42"/>
      <c r="S147" s="42"/>
      <c r="T147" s="42"/>
      <c r="U147" s="42"/>
      <c r="V147" s="42"/>
      <c r="W147" s="42"/>
      <c r="X147" s="42"/>
      <c r="Y147" s="38">
        <v>90</v>
      </c>
      <c r="Z147" s="38">
        <f t="shared" si="71"/>
        <v>31.622776601683839</v>
      </c>
      <c r="AA147" s="38">
        <f t="shared" si="49"/>
        <v>32.285148633235167</v>
      </c>
      <c r="AB147" s="38">
        <f t="shared" si="50"/>
        <v>-84.441353301519996</v>
      </c>
      <c r="AC147" s="38">
        <f t="shared" si="51"/>
        <v>-36.182714229413556</v>
      </c>
      <c r="AD147" s="38">
        <f t="shared" si="52"/>
        <v>138.30081923822348</v>
      </c>
      <c r="AE147" s="38">
        <f t="shared" si="72"/>
        <v>-3.8975655961783886</v>
      </c>
      <c r="AF147" s="38">
        <f t="shared" si="73"/>
        <v>53.859465936703486</v>
      </c>
      <c r="AH147" s="38">
        <v>90</v>
      </c>
      <c r="AI147" s="38">
        <f t="shared" si="53"/>
        <v>9.0000000000000011E-3</v>
      </c>
      <c r="AJ147" s="38">
        <f t="shared" si="54"/>
        <v>39.331442200393859</v>
      </c>
      <c r="AK147" s="38">
        <f t="shared" si="55"/>
        <v>6.1686716459626888E-6</v>
      </c>
      <c r="AL147" s="38">
        <f t="shared" si="56"/>
        <v>5.1981806367771283E-6</v>
      </c>
      <c r="AM147" s="38">
        <f t="shared" si="57"/>
        <v>162.10945522679688</v>
      </c>
      <c r="AN147" s="38">
        <f t="shared" si="58"/>
        <v>4.6265037344720158E-6</v>
      </c>
      <c r="AO147" s="38">
        <f t="shared" si="59"/>
        <v>4.0975444003709473E-6</v>
      </c>
      <c r="AP147" s="38">
        <f t="shared" si="60"/>
        <v>195.67034358705973</v>
      </c>
      <c r="AQ147" s="38">
        <f t="shared" si="61"/>
        <v>3.0843358229813444E-6</v>
      </c>
      <c r="AR147" s="38">
        <f t="shared" si="62"/>
        <v>3.3405414788582548E-6</v>
      </c>
      <c r="AS147" s="38">
        <f t="shared" si="63"/>
        <v>196.26702866853608</v>
      </c>
      <c r="AT147" s="38">
        <f t="shared" si="64"/>
        <v>1.5421679114906722E-6</v>
      </c>
      <c r="AU147" s="38">
        <f t="shared" si="65"/>
        <v>2.785390282894082E-6</v>
      </c>
      <c r="AV147" s="38">
        <f t="shared" si="66"/>
        <v>141.1493806871415</v>
      </c>
      <c r="AW147" s="42"/>
      <c r="AX147" s="38">
        <v>11</v>
      </c>
      <c r="AY147" s="38">
        <f t="shared" si="67"/>
        <v>0.71177772964647557</v>
      </c>
      <c r="AZ147" s="38">
        <f t="shared" si="68"/>
        <v>5.71799870045484E-7</v>
      </c>
      <c r="BA147" s="38">
        <f t="shared" si="69"/>
        <v>1.052063257742393E-5</v>
      </c>
      <c r="BB147" s="38">
        <f t="shared" si="70"/>
        <v>1.1648391431841562E-6</v>
      </c>
      <c r="BC147" s="38">
        <f t="shared" si="74"/>
        <v>2.0279511818900238E-6</v>
      </c>
      <c r="BD147" s="38">
        <f t="shared" si="75"/>
        <v>68.250707239759549</v>
      </c>
      <c r="BE147" s="38"/>
      <c r="BF147" s="38"/>
      <c r="BG147" s="38"/>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row>
    <row r="148" spans="1:194" ht="16.5" customHeight="1" x14ac:dyDescent="0.2">
      <c r="A148" s="1"/>
      <c r="E148" s="44"/>
      <c r="I148" s="1"/>
      <c r="J148" s="1"/>
      <c r="K148" s="1"/>
      <c r="L148" s="1"/>
      <c r="M148" s="42"/>
      <c r="N148" s="42"/>
      <c r="O148" s="42"/>
      <c r="P148" s="42"/>
      <c r="Q148" s="42"/>
      <c r="R148" s="42"/>
      <c r="S148" s="42"/>
      <c r="T148" s="42"/>
      <c r="U148" s="42"/>
      <c r="V148" s="42"/>
      <c r="W148" s="42"/>
      <c r="X148" s="42"/>
      <c r="Y148" s="38">
        <v>91</v>
      </c>
      <c r="Z148" s="38">
        <f t="shared" si="71"/>
        <v>35.481338923357583</v>
      </c>
      <c r="AA148" s="38">
        <f t="shared" si="49"/>
        <v>31.293537595817362</v>
      </c>
      <c r="AB148" s="38">
        <f t="shared" si="50"/>
        <v>-85.042656426766698</v>
      </c>
      <c r="AC148" s="38">
        <f t="shared" si="51"/>
        <v>-36.565611261125937</v>
      </c>
      <c r="AD148" s="38">
        <f t="shared" si="52"/>
        <v>135.71124543417875</v>
      </c>
      <c r="AE148" s="38">
        <f t="shared" si="72"/>
        <v>-5.2720736653085751</v>
      </c>
      <c r="AF148" s="38">
        <f t="shared" si="73"/>
        <v>50.668589007412052</v>
      </c>
      <c r="AH148" s="38">
        <v>91</v>
      </c>
      <c r="AI148" s="38">
        <f t="shared" si="53"/>
        <v>9.1000000000000004E-3</v>
      </c>
      <c r="AJ148" s="38">
        <f t="shared" si="54"/>
        <v>35.509770534793333</v>
      </c>
      <c r="AK148" s="38">
        <f t="shared" si="55"/>
        <v>6.0587615689277203E-6</v>
      </c>
      <c r="AL148" s="38">
        <f t="shared" si="56"/>
        <v>5.1981806367771283E-6</v>
      </c>
      <c r="AM148" s="38">
        <f t="shared" si="57"/>
        <v>165.05023157347651</v>
      </c>
      <c r="AN148" s="38">
        <f t="shared" si="58"/>
        <v>4.5440711766957892E-6</v>
      </c>
      <c r="AO148" s="38">
        <f t="shared" si="59"/>
        <v>4.1009829401285768E-6</v>
      </c>
      <c r="AP148" s="38">
        <f t="shared" si="60"/>
        <v>198.88599867668674</v>
      </c>
      <c r="AQ148" s="38">
        <f t="shared" si="61"/>
        <v>3.0293807844638601E-6</v>
      </c>
      <c r="AR148" s="38">
        <f t="shared" si="62"/>
        <v>3.3515192573253139E-6</v>
      </c>
      <c r="AS148" s="38">
        <f t="shared" si="63"/>
        <v>198.52053567753475</v>
      </c>
      <c r="AT148" s="38">
        <f t="shared" si="64"/>
        <v>1.5146903922319301E-6</v>
      </c>
      <c r="AU148" s="38">
        <f t="shared" si="65"/>
        <v>2.8028961409722692E-6</v>
      </c>
      <c r="AV148" s="38">
        <f t="shared" si="66"/>
        <v>141.92041411497027</v>
      </c>
      <c r="AW148" s="42"/>
      <c r="AX148" s="38">
        <v>10</v>
      </c>
      <c r="AY148" s="38" t="str">
        <f t="shared" si="67"/>
        <v/>
      </c>
      <c r="AZ148" s="38" t="e">
        <f t="shared" si="68"/>
        <v>#VALUE!</v>
      </c>
      <c r="BA148" s="38" t="e">
        <f t="shared" si="69"/>
        <v>#VALUE!</v>
      </c>
      <c r="BB148" s="38" t="e">
        <f t="shared" si="70"/>
        <v>#VALUE!</v>
      </c>
      <c r="BC148" s="38" t="e">
        <f t="shared" si="74"/>
        <v>#VALUE!</v>
      </c>
      <c r="BD148" s="38" t="e">
        <f t="shared" si="75"/>
        <v>#VALUE!</v>
      </c>
      <c r="BE148" s="38"/>
      <c r="BF148" s="38"/>
      <c r="BG148" s="38"/>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row>
    <row r="149" spans="1:194" ht="16.5" customHeight="1" x14ac:dyDescent="0.2">
      <c r="A149" s="1"/>
      <c r="E149" s="44"/>
      <c r="I149" s="1"/>
      <c r="J149" s="1"/>
      <c r="K149" s="1"/>
      <c r="L149" s="1"/>
      <c r="M149" s="42"/>
      <c r="N149" s="42"/>
      <c r="O149" s="42"/>
      <c r="P149" s="42"/>
      <c r="Q149" s="42"/>
      <c r="R149" s="42"/>
      <c r="S149" s="42"/>
      <c r="T149" s="42"/>
      <c r="U149" s="42"/>
      <c r="V149" s="42"/>
      <c r="W149" s="42"/>
      <c r="X149" s="42"/>
      <c r="Y149" s="38">
        <v>92</v>
      </c>
      <c r="Z149" s="38">
        <f t="shared" si="71"/>
        <v>39.810717055349741</v>
      </c>
      <c r="AA149" s="38">
        <f t="shared" si="49"/>
        <v>30.300212752867441</v>
      </c>
      <c r="AB149" s="38">
        <f t="shared" si="50"/>
        <v>-85.579496651334267</v>
      </c>
      <c r="AC149" s="38">
        <f t="shared" si="51"/>
        <v>-37.002026781281458</v>
      </c>
      <c r="AD149" s="38">
        <f t="shared" si="52"/>
        <v>132.98440245768248</v>
      </c>
      <c r="AE149" s="38">
        <f t="shared" si="72"/>
        <v>-6.7018140284140166</v>
      </c>
      <c r="AF149" s="38">
        <f t="shared" si="73"/>
        <v>47.404905806348211</v>
      </c>
      <c r="AH149" s="38">
        <v>92</v>
      </c>
      <c r="AI149" s="38">
        <f t="shared" si="53"/>
        <v>9.1999999999999998E-3</v>
      </c>
      <c r="AJ149" s="38">
        <f t="shared" si="54"/>
        <v>31.653055012821515</v>
      </c>
      <c r="AK149" s="38">
        <f t="shared" si="55"/>
        <v>5.9517441806689467E-6</v>
      </c>
      <c r="AL149" s="38">
        <f t="shared" si="56"/>
        <v>5.1981806367771283E-6</v>
      </c>
      <c r="AM149" s="38">
        <f t="shared" si="57"/>
        <v>168.01797416763384</v>
      </c>
      <c r="AN149" s="38">
        <f t="shared" si="58"/>
        <v>4.4638081355017094E-6</v>
      </c>
      <c r="AO149" s="38">
        <f t="shared" si="59"/>
        <v>4.1044474485871363E-6</v>
      </c>
      <c r="AP149" s="38">
        <f t="shared" si="60"/>
        <v>202.12049010647519</v>
      </c>
      <c r="AQ149" s="38">
        <f t="shared" si="61"/>
        <v>2.9758720903344733E-6</v>
      </c>
      <c r="AR149" s="38">
        <f t="shared" si="62"/>
        <v>3.3625384785129191E-6</v>
      </c>
      <c r="AS149" s="38">
        <f t="shared" si="63"/>
        <v>200.76775239671758</v>
      </c>
      <c r="AT149" s="38">
        <f t="shared" si="64"/>
        <v>1.4879360451672367E-6</v>
      </c>
      <c r="AU149" s="38">
        <f t="shared" si="65"/>
        <v>2.8204193992007238E-6</v>
      </c>
      <c r="AV149" s="38">
        <f t="shared" si="66"/>
        <v>142.68262830162314</v>
      </c>
      <c r="AW149" s="42"/>
      <c r="AX149" s="38">
        <v>9</v>
      </c>
      <c r="AY149" s="38" t="str">
        <f t="shared" si="67"/>
        <v/>
      </c>
      <c r="AZ149" s="38" t="e">
        <f t="shared" si="68"/>
        <v>#VALUE!</v>
      </c>
      <c r="BA149" s="38" t="e">
        <f t="shared" si="69"/>
        <v>#VALUE!</v>
      </c>
      <c r="BB149" s="38" t="e">
        <f t="shared" si="70"/>
        <v>#VALUE!</v>
      </c>
      <c r="BC149" s="38" t="e">
        <f t="shared" si="74"/>
        <v>#VALUE!</v>
      </c>
      <c r="BD149" s="38" t="e">
        <f t="shared" si="75"/>
        <v>#VALUE!</v>
      </c>
      <c r="BE149" s="38"/>
      <c r="BF149" s="38"/>
      <c r="BG149" s="38"/>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row>
    <row r="150" spans="1:194" ht="16.5" customHeight="1" x14ac:dyDescent="0.2">
      <c r="A150" s="1"/>
      <c r="E150" s="44"/>
      <c r="I150" s="1"/>
      <c r="J150" s="1"/>
      <c r="K150" s="1"/>
      <c r="L150" s="1"/>
      <c r="M150" s="42"/>
      <c r="N150" s="42"/>
      <c r="O150" s="42"/>
      <c r="P150" s="42"/>
      <c r="Q150" s="42"/>
      <c r="R150" s="42"/>
      <c r="S150" s="42"/>
      <c r="T150" s="42"/>
      <c r="U150" s="42"/>
      <c r="V150" s="42"/>
      <c r="W150" s="42"/>
      <c r="X150" s="42"/>
      <c r="Y150" s="38">
        <v>93</v>
      </c>
      <c r="Z150" s="38">
        <f t="shared" si="71"/>
        <v>44.668359215096388</v>
      </c>
      <c r="AA150" s="38">
        <f t="shared" si="49"/>
        <v>29.305522339862993</v>
      </c>
      <c r="AB150" s="38">
        <f t="shared" si="50"/>
        <v>-86.058615209951583</v>
      </c>
      <c r="AC150" s="38">
        <f t="shared" si="51"/>
        <v>-37.494113457944977</v>
      </c>
      <c r="AD150" s="38">
        <f t="shared" si="52"/>
        <v>130.16828377116212</v>
      </c>
      <c r="AE150" s="38">
        <f t="shared" si="72"/>
        <v>-8.1885911180819839</v>
      </c>
      <c r="AF150" s="38">
        <f t="shared" si="73"/>
        <v>44.10966856121054</v>
      </c>
      <c r="AH150" s="38">
        <v>93</v>
      </c>
      <c r="AI150" s="38">
        <f t="shared" si="53"/>
        <v>9.300000000000001E-3</v>
      </c>
      <c r="AJ150" s="38">
        <f t="shared" si="54"/>
        <v>27.765101747071633</v>
      </c>
      <c r="AK150" s="38">
        <f t="shared" si="55"/>
        <v>5.8476196556458622E-6</v>
      </c>
      <c r="AL150" s="38">
        <f t="shared" si="56"/>
        <v>5.1981806367771283E-6</v>
      </c>
      <c r="AM150" s="38">
        <f t="shared" si="57"/>
        <v>171.00975420562835</v>
      </c>
      <c r="AN150" s="38">
        <f t="shared" si="58"/>
        <v>4.3857147417343956E-6</v>
      </c>
      <c r="AO150" s="38">
        <f t="shared" si="59"/>
        <v>4.1079343899279553E-6</v>
      </c>
      <c r="AP150" s="38">
        <f t="shared" si="60"/>
        <v>205.37041619608769</v>
      </c>
      <c r="AQ150" s="38">
        <f t="shared" si="61"/>
        <v>2.9238098278229311E-6</v>
      </c>
      <c r="AR150" s="38">
        <f t="shared" si="62"/>
        <v>3.3735876940876033E-6</v>
      </c>
      <c r="AS150" s="38">
        <f t="shared" si="63"/>
        <v>203.00634579597539</v>
      </c>
      <c r="AT150" s="38">
        <f t="shared" si="64"/>
        <v>1.4619049139114655E-6</v>
      </c>
      <c r="AU150" s="38">
        <f t="shared" si="65"/>
        <v>2.837942554010047E-6</v>
      </c>
      <c r="AV150" s="38">
        <f t="shared" si="66"/>
        <v>143.43542528500541</v>
      </c>
      <c r="AW150" s="42"/>
      <c r="AX150" s="38">
        <v>8</v>
      </c>
      <c r="AY150" s="38" t="str">
        <f t="shared" si="67"/>
        <v/>
      </c>
      <c r="AZ150" s="38" t="e">
        <f t="shared" si="68"/>
        <v>#VALUE!</v>
      </c>
      <c r="BA150" s="38" t="e">
        <f t="shared" si="69"/>
        <v>#VALUE!</v>
      </c>
      <c r="BB150" s="38" t="e">
        <f t="shared" si="70"/>
        <v>#VALUE!</v>
      </c>
      <c r="BC150" s="38" t="e">
        <f t="shared" si="74"/>
        <v>#VALUE!</v>
      </c>
      <c r="BD150" s="38" t="e">
        <f t="shared" si="75"/>
        <v>#VALUE!</v>
      </c>
      <c r="BE150" s="38"/>
      <c r="BF150" s="38"/>
      <c r="BG150" s="38"/>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row>
    <row r="151" spans="1:194" ht="16.5" customHeight="1" x14ac:dyDescent="0.2">
      <c r="A151" s="1"/>
      <c r="I151" s="1"/>
      <c r="J151" s="1"/>
      <c r="K151" s="1"/>
      <c r="L151" s="1"/>
      <c r="M151" s="42"/>
      <c r="N151" s="42"/>
      <c r="O151" s="42"/>
      <c r="P151" s="42"/>
      <c r="Q151" s="42"/>
      <c r="R151" s="42"/>
      <c r="S151" s="42"/>
      <c r="T151" s="42"/>
      <c r="U151" s="42"/>
      <c r="V151" s="42"/>
      <c r="W151" s="42"/>
      <c r="X151" s="42"/>
      <c r="Y151" s="38">
        <v>94</v>
      </c>
      <c r="Z151" s="38">
        <f t="shared" si="71"/>
        <v>50.118723362727295</v>
      </c>
      <c r="AA151" s="38">
        <f t="shared" si="49"/>
        <v>28.309744525650629</v>
      </c>
      <c r="AB151" s="38">
        <f t="shared" si="50"/>
        <v>-86.486097916102153</v>
      </c>
      <c r="AC151" s="38">
        <f t="shared" si="51"/>
        <v>-38.042495546155067</v>
      </c>
      <c r="AD151" s="38">
        <f t="shared" si="52"/>
        <v>127.31225804150468</v>
      </c>
      <c r="AE151" s="38">
        <f t="shared" si="72"/>
        <v>-9.7327510205044376</v>
      </c>
      <c r="AF151" s="38">
        <f t="shared" si="73"/>
        <v>40.826160125402524</v>
      </c>
      <c r="AH151" s="38">
        <v>94</v>
      </c>
      <c r="AI151" s="38">
        <f t="shared" si="53"/>
        <v>9.3999999999999986E-3</v>
      </c>
      <c r="AJ151" s="38">
        <f t="shared" si="54"/>
        <v>23.849747678018861</v>
      </c>
      <c r="AK151" s="38">
        <f t="shared" si="55"/>
        <v>5.746379435137912E-6</v>
      </c>
      <c r="AL151" s="38">
        <f t="shared" si="56"/>
        <v>5.1981806367771283E-6</v>
      </c>
      <c r="AM151" s="38">
        <f t="shared" si="57"/>
        <v>174.02261916176445</v>
      </c>
      <c r="AN151" s="38">
        <f t="shared" si="58"/>
        <v>4.3097845763534336E-6</v>
      </c>
      <c r="AO151" s="38">
        <f t="shared" si="59"/>
        <v>4.111440222783279E-6</v>
      </c>
      <c r="AP151" s="38">
        <f t="shared" si="60"/>
        <v>208.63239225132011</v>
      </c>
      <c r="AQ151" s="38">
        <f t="shared" si="61"/>
        <v>2.873189717568956E-6</v>
      </c>
      <c r="AR151" s="38">
        <f t="shared" si="62"/>
        <v>3.3846556097799558E-6</v>
      </c>
      <c r="AS151" s="38">
        <f t="shared" si="63"/>
        <v>205.23407496543558</v>
      </c>
      <c r="AT151" s="38">
        <f t="shared" si="64"/>
        <v>1.436594858784478E-6</v>
      </c>
      <c r="AU151" s="38">
        <f t="shared" si="65"/>
        <v>2.8554485206394138E-6</v>
      </c>
      <c r="AV151" s="38">
        <f t="shared" si="66"/>
        <v>144.17825800794412</v>
      </c>
      <c r="AW151" s="42"/>
      <c r="AX151" s="38">
        <v>7</v>
      </c>
      <c r="AY151" s="38" t="str">
        <f t="shared" si="67"/>
        <v/>
      </c>
      <c r="AZ151" s="38" t="e">
        <f t="shared" si="68"/>
        <v>#VALUE!</v>
      </c>
      <c r="BA151" s="38" t="e">
        <f t="shared" si="69"/>
        <v>#VALUE!</v>
      </c>
      <c r="BB151" s="38" t="e">
        <f t="shared" si="70"/>
        <v>#VALUE!</v>
      </c>
      <c r="BC151" s="38" t="e">
        <f t="shared" si="74"/>
        <v>#VALUE!</v>
      </c>
      <c r="BD151" s="38" t="e">
        <f t="shared" si="75"/>
        <v>#VALUE!</v>
      </c>
      <c r="BE151" s="38"/>
      <c r="BF151" s="38"/>
      <c r="BG151" s="38"/>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row>
    <row r="152" spans="1:194" ht="16.5" customHeight="1" x14ac:dyDescent="0.2">
      <c r="A152" s="1"/>
      <c r="I152" s="1"/>
      <c r="J152" s="1"/>
      <c r="K152" s="1"/>
      <c r="L152" s="1"/>
      <c r="M152" s="42"/>
      <c r="N152" s="42"/>
      <c r="O152" s="42"/>
      <c r="P152" s="42"/>
      <c r="Q152" s="42"/>
      <c r="R152" s="42"/>
      <c r="S152" s="42"/>
      <c r="T152" s="42"/>
      <c r="U152" s="42"/>
      <c r="V152" s="42"/>
      <c r="W152" s="42"/>
      <c r="X152" s="42"/>
      <c r="Y152" s="38">
        <v>95</v>
      </c>
      <c r="Z152" s="38">
        <f t="shared" si="71"/>
        <v>56.234132519034951</v>
      </c>
      <c r="AA152" s="38">
        <f t="shared" si="49"/>
        <v>27.313101254735294</v>
      </c>
      <c r="AB152" s="38">
        <f t="shared" si="50"/>
        <v>-86.867424139802623</v>
      </c>
      <c r="AC152" s="38">
        <f t="shared" si="51"/>
        <v>-38.646247263626755</v>
      </c>
      <c r="AD152" s="38">
        <f t="shared" si="52"/>
        <v>124.46432733945855</v>
      </c>
      <c r="AE152" s="38">
        <f t="shared" si="72"/>
        <v>-11.333146008891461</v>
      </c>
      <c r="AF152" s="38">
        <f t="shared" si="73"/>
        <v>37.596903199655927</v>
      </c>
      <c r="AH152" s="38">
        <v>95</v>
      </c>
      <c r="AI152" s="38">
        <f t="shared" si="53"/>
        <v>9.4999999999999998E-3</v>
      </c>
      <c r="AJ152" s="38">
        <f t="shared" si="54"/>
        <v>19.910856787422702</v>
      </c>
      <c r="AK152" s="38">
        <f t="shared" si="55"/>
        <v>5.6480072942583124E-6</v>
      </c>
      <c r="AL152" s="38">
        <f t="shared" si="56"/>
        <v>5.1981806367771283E-6</v>
      </c>
      <c r="AM152" s="38">
        <f t="shared" si="57"/>
        <v>177.05359570207821</v>
      </c>
      <c r="AN152" s="38">
        <f t="shared" si="58"/>
        <v>4.2360054706937339E-6</v>
      </c>
      <c r="AO152" s="38">
        <f t="shared" si="59"/>
        <v>4.1149614040010712E-6</v>
      </c>
      <c r="AP152" s="38">
        <f t="shared" si="60"/>
        <v>211.90305429626559</v>
      </c>
      <c r="AQ152" s="38">
        <f t="shared" si="61"/>
        <v>2.8240036471291562E-6</v>
      </c>
      <c r="AR152" s="38">
        <f t="shared" si="62"/>
        <v>3.3957310932593001E-6</v>
      </c>
      <c r="AS152" s="38">
        <f t="shared" si="63"/>
        <v>207.44879051707011</v>
      </c>
      <c r="AT152" s="38">
        <f t="shared" si="64"/>
        <v>1.4120018235645781E-6</v>
      </c>
      <c r="AU152" s="38">
        <f t="shared" si="65"/>
        <v>2.8729206327132703E-6</v>
      </c>
      <c r="AV152" s="38">
        <f t="shared" si="66"/>
        <v>144.91062760855158</v>
      </c>
      <c r="AW152" s="42"/>
      <c r="AX152" s="38">
        <v>6</v>
      </c>
      <c r="AY152" s="38" t="str">
        <f t="shared" si="67"/>
        <v/>
      </c>
      <c r="AZ152" s="38" t="e">
        <f t="shared" si="68"/>
        <v>#VALUE!</v>
      </c>
      <c r="BA152" s="38" t="e">
        <f t="shared" si="69"/>
        <v>#VALUE!</v>
      </c>
      <c r="BB152" s="38" t="e">
        <f t="shared" si="70"/>
        <v>#VALUE!</v>
      </c>
      <c r="BC152" s="38" t="e">
        <f t="shared" si="74"/>
        <v>#VALUE!</v>
      </c>
      <c r="BD152" s="38" t="e">
        <f t="shared" si="75"/>
        <v>#VALUE!</v>
      </c>
      <c r="BE152" s="38"/>
      <c r="BF152" s="38"/>
      <c r="BG152" s="38"/>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row>
    <row r="153" spans="1:194" ht="16.5" customHeight="1" x14ac:dyDescent="0.2">
      <c r="A153" s="1"/>
      <c r="I153" s="1"/>
      <c r="J153" s="1"/>
      <c r="K153" s="1"/>
      <c r="L153" s="1"/>
      <c r="M153" s="42"/>
      <c r="N153" s="42"/>
      <c r="O153" s="42"/>
      <c r="P153" s="42"/>
      <c r="Q153" s="42"/>
      <c r="R153" s="42"/>
      <c r="S153" s="42"/>
      <c r="T153" s="42"/>
      <c r="U153" s="42"/>
      <c r="V153" s="42"/>
      <c r="W153" s="42"/>
      <c r="X153" s="42"/>
      <c r="Y153" s="38">
        <v>96</v>
      </c>
      <c r="Z153" s="38">
        <f t="shared" si="71"/>
        <v>63.095734448019343</v>
      </c>
      <c r="AA153" s="38">
        <f t="shared" si="49"/>
        <v>26.315769449586277</v>
      </c>
      <c r="AB153" s="38">
        <f t="shared" si="50"/>
        <v>-87.207516802926662</v>
      </c>
      <c r="AC153" s="38">
        <f t="shared" si="51"/>
        <v>-39.303020414166397</v>
      </c>
      <c r="AD153" s="38">
        <f t="shared" si="52"/>
        <v>121.66850343270391</v>
      </c>
      <c r="AE153" s="38">
        <f t="shared" si="72"/>
        <v>-12.98725096458012</v>
      </c>
      <c r="AF153" s="38">
        <f t="shared" si="73"/>
        <v>34.460986629777253</v>
      </c>
      <c r="AH153" s="38">
        <v>96</v>
      </c>
      <c r="AI153" s="38">
        <f t="shared" si="53"/>
        <v>9.5999999999999992E-3</v>
      </c>
      <c r="AJ153" s="38">
        <f t="shared" si="54"/>
        <v>15.952316285044287</v>
      </c>
      <c r="AK153" s="38">
        <f t="shared" si="55"/>
        <v>5.5524803260902376E-6</v>
      </c>
      <c r="AL153" s="38">
        <f t="shared" si="56"/>
        <v>5.1981806367771283E-6</v>
      </c>
      <c r="AM153" s="38">
        <f t="shared" si="57"/>
        <v>180.09969261865842</v>
      </c>
      <c r="AN153" s="38">
        <f t="shared" si="58"/>
        <v>4.1643602445676778E-6</v>
      </c>
      <c r="AO153" s="38">
        <f t="shared" si="59"/>
        <v>4.1184943923396158E-6</v>
      </c>
      <c r="AP153" s="38">
        <f t="shared" si="60"/>
        <v>215.17906264425483</v>
      </c>
      <c r="AQ153" s="38">
        <f t="shared" si="61"/>
        <v>2.7762401630451188E-6</v>
      </c>
      <c r="AR153" s="38">
        <f t="shared" si="62"/>
        <v>3.4068031812168554E-6</v>
      </c>
      <c r="AS153" s="38">
        <f t="shared" si="63"/>
        <v>209.64843366591694</v>
      </c>
      <c r="AT153" s="38">
        <f t="shared" si="64"/>
        <v>1.3881200815225594E-6</v>
      </c>
      <c r="AU153" s="38">
        <f t="shared" si="65"/>
        <v>2.8903426407313797E-6</v>
      </c>
      <c r="AV153" s="38">
        <f t="shared" si="66"/>
        <v>145.63208072967132</v>
      </c>
      <c r="AW153" s="42"/>
      <c r="AX153" s="38">
        <v>5</v>
      </c>
      <c r="AY153" s="38" t="str">
        <f t="shared" si="67"/>
        <v/>
      </c>
      <c r="AZ153" s="38" t="e">
        <f t="shared" si="68"/>
        <v>#VALUE!</v>
      </c>
      <c r="BA153" s="38" t="e">
        <f t="shared" si="69"/>
        <v>#VALUE!</v>
      </c>
      <c r="BB153" s="38" t="e">
        <f t="shared" si="70"/>
        <v>#VALUE!</v>
      </c>
      <c r="BC153" s="38" t="e">
        <f t="shared" si="74"/>
        <v>#VALUE!</v>
      </c>
      <c r="BD153" s="38" t="e">
        <f t="shared" si="75"/>
        <v>#VALUE!</v>
      </c>
      <c r="BE153" s="38"/>
      <c r="BF153" s="38"/>
      <c r="BG153" s="38"/>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row>
    <row r="154" spans="1:194" ht="16.5" customHeight="1" x14ac:dyDescent="0.2">
      <c r="A154" s="1"/>
      <c r="I154" s="1"/>
      <c r="J154" s="1"/>
      <c r="K154" s="1"/>
      <c r="L154" s="1"/>
      <c r="M154" s="42"/>
      <c r="N154" s="42"/>
      <c r="O154" s="42"/>
      <c r="P154" s="42"/>
      <c r="Q154" s="42"/>
      <c r="R154" s="42"/>
      <c r="S154" s="42"/>
      <c r="T154" s="42"/>
      <c r="U154" s="42"/>
      <c r="V154" s="42"/>
      <c r="W154" s="42"/>
      <c r="X154" s="42"/>
      <c r="Y154" s="38">
        <v>97</v>
      </c>
      <c r="Z154" s="38">
        <f t="shared" si="71"/>
        <v>70.79457843841378</v>
      </c>
      <c r="AA154" s="38">
        <f t="shared" ref="AA154:AA185" si="76">20*LOG10(G_o/SQRT(1+(Z154/f_p)^2))</f>
        <v>25.317890040926521</v>
      </c>
      <c r="AB154" s="38">
        <f t="shared" ref="AB154:AB185" si="77">180/PI()*-(ATAN(Z154/f_p))</f>
        <v>-87.510791501638579</v>
      </c>
      <c r="AC154" s="38">
        <f t="shared" ref="AC154:AC185" si="78">-20*LOG10(Z154/f_o)+20*LOG10(SQRT(1+(Z154/f_z)^2))-20*LOG10(SQRT(1+(Z154/f_p2)^2))</f>
        <v>-40.009297471160451</v>
      </c>
      <c r="AD154" s="38">
        <f t="shared" ref="AD154:AD185" si="79">-90+(180/PI())*ATAN(Z154/f_z)-(180/PI())*ATAN(Z154/f_p2)+180</f>
        <v>118.96269462075463</v>
      </c>
      <c r="AE154" s="38">
        <f t="shared" si="72"/>
        <v>-14.69140743023393</v>
      </c>
      <c r="AF154" s="38">
        <f t="shared" si="73"/>
        <v>31.451903119116054</v>
      </c>
      <c r="AH154" s="38">
        <v>97</v>
      </c>
      <c r="AI154" s="38">
        <f t="shared" ref="AI154:AI185" si="80">AH154/100/fline.sim/2</f>
        <v>9.7000000000000003E-3</v>
      </c>
      <c r="AJ154" s="38">
        <f t="shared" ref="AJ154:AJ185" si="81">Vline.sim*2^0.5*SIN(2*PI()*fline.sim*AI154)</f>
        <v>11.978032772438961</v>
      </c>
      <c r="AK154" s="38">
        <f t="shared" si="55"/>
        <v>5.4597698453262978E-6</v>
      </c>
      <c r="AL154" s="38">
        <f t="shared" ref="AL154:AL185" si="82">ton.con1/2*(1+(1+4*tdt.con1/AK154)^0.5)</f>
        <v>5.1981806367771283E-6</v>
      </c>
      <c r="AM154" s="38">
        <f t="shared" ref="AM154:AM185" si="83">1/(AK154*AL154/ton.con1+tdt.con1)/1000</f>
        <v>183.15790378160821</v>
      </c>
      <c r="AN154" s="38">
        <f t="shared" si="58"/>
        <v>4.0948273839947225E-6</v>
      </c>
      <c r="AO154" s="38">
        <f t="shared" ref="AO154:AO185" si="84">ton.con2/2*(1+(1+4*tdt.con2/AN154)^0.5)</f>
        <v>4.1220356520888121E-6</v>
      </c>
      <c r="AP154" s="38">
        <f t="shared" ref="AP154:AP185" si="85">1/(AN154*AO154/ton.con2+tdt.con2)/1000</f>
        <v>218.45710530616142</v>
      </c>
      <c r="AQ154" s="38">
        <f t="shared" si="61"/>
        <v>2.7298849226631489E-6</v>
      </c>
      <c r="AR154" s="38">
        <f t="shared" ref="AR154:AR185" si="86">ton.con3/2*(1+(1+4*tdt.con3/AQ154)^0.5)</f>
        <v>3.4178610857053439E-6</v>
      </c>
      <c r="AS154" s="38">
        <f t="shared" ref="AS154:AS185" si="87">1/(AQ154*AR154/ton.con3+tdt.con3)/1000</f>
        <v>211.83103502581645</v>
      </c>
      <c r="AT154" s="38">
        <f t="shared" si="64"/>
        <v>1.3649424613315745E-6</v>
      </c>
      <c r="AU154" s="38">
        <f t="shared" ref="AU154:AU185" si="88">ton.con4/2*(1+(1+4*tdt.con4/AT154)^0.5)</f>
        <v>2.9076987096222418E-6</v>
      </c>
      <c r="AV154" s="38">
        <f t="shared" ref="AV154:AV185" si="89">1/(AT154*AU154/ton.con4+tdt.con4)/1000</f>
        <v>146.342206865957</v>
      </c>
      <c r="AW154" s="42"/>
      <c r="AX154" s="38">
        <v>4</v>
      </c>
      <c r="AY154" s="38" t="str">
        <f t="shared" ref="AY154:AY185" si="90">IF( ( Po.max * AX154/100 * 100/Eff.sim * 2*Lbst.sim*4/Vline.sim^2/Ton.max.sim ) + 0.5 &gt;0.7, ( Po.max * AX154/100 * 100/Eff.sim * 2*Lbst.sim*4/Vline.sim^2/Ton.max.sim ) + 0.5,"")</f>
        <v/>
      </c>
      <c r="AZ154" s="38" t="e">
        <f t="shared" ref="AZ154:AZ185" si="91">Ton.max.sim*(AY154-0.5)/4</f>
        <v>#VALUE!</v>
      </c>
      <c r="BA154" s="38" t="e">
        <f t="shared" si="69"/>
        <v>#VALUE!</v>
      </c>
      <c r="BB154" s="38" t="e">
        <f t="shared" si="70"/>
        <v>#VALUE!</v>
      </c>
      <c r="BC154" s="38" t="e">
        <f t="shared" si="74"/>
        <v>#VALUE!</v>
      </c>
      <c r="BD154" s="38" t="e">
        <f t="shared" si="75"/>
        <v>#VALUE!</v>
      </c>
      <c r="BE154" s="38"/>
      <c r="BF154" s="38"/>
      <c r="BG154" s="38"/>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row>
    <row r="155" spans="1:194" ht="16.5" customHeight="1" x14ac:dyDescent="0.2">
      <c r="A155" s="1"/>
      <c r="I155" s="1"/>
      <c r="J155" s="1"/>
      <c r="K155" s="1"/>
      <c r="L155" s="1"/>
      <c r="M155" s="42"/>
      <c r="N155" s="42"/>
      <c r="O155" s="42"/>
      <c r="P155" s="42"/>
      <c r="Q155" s="42"/>
      <c r="R155" s="42"/>
      <c r="S155" s="42"/>
      <c r="T155" s="42"/>
      <c r="U155" s="42"/>
      <c r="V155" s="42"/>
      <c r="W155" s="42"/>
      <c r="X155" s="42"/>
      <c r="Y155" s="38">
        <v>98</v>
      </c>
      <c r="Z155" s="38">
        <f t="shared" si="71"/>
        <v>79.43282347242824</v>
      </c>
      <c r="AA155" s="38">
        <f t="shared" si="76"/>
        <v>24.319575224720289</v>
      </c>
      <c r="AB155" s="38">
        <f t="shared" si="77"/>
        <v>-87.781203559392452</v>
      </c>
      <c r="AC155" s="38">
        <f t="shared" si="78"/>
        <v>-40.760722832879246</v>
      </c>
      <c r="AD155" s="38">
        <f t="shared" si="79"/>
        <v>116.37736068220596</v>
      </c>
      <c r="AE155" s="38">
        <f t="shared" si="72"/>
        <v>-16.441147608158957</v>
      </c>
      <c r="AF155" s="38">
        <f t="shared" si="73"/>
        <v>28.596157122813509</v>
      </c>
      <c r="AH155" s="38">
        <v>98</v>
      </c>
      <c r="AI155" s="38">
        <f t="shared" si="80"/>
        <v>9.7999999999999997E-3</v>
      </c>
      <c r="AJ155" s="38">
        <f t="shared" si="81"/>
        <v>7.9919283876127167</v>
      </c>
      <c r="AK155" s="38">
        <f t="shared" si="55"/>
        <v>5.369842214501429E-6</v>
      </c>
      <c r="AL155" s="38">
        <f t="shared" si="82"/>
        <v>5.1981806367771283E-6</v>
      </c>
      <c r="AM155" s="38">
        <f t="shared" si="83"/>
        <v>186.22521110573197</v>
      </c>
      <c r="AN155" s="38">
        <f t="shared" si="58"/>
        <v>4.0273816608760715E-6</v>
      </c>
      <c r="AO155" s="38">
        <f t="shared" si="84"/>
        <v>4.1255816566152935E-6</v>
      </c>
      <c r="AP155" s="38">
        <f t="shared" si="85"/>
        <v>221.73390123538394</v>
      </c>
      <c r="AQ155" s="38">
        <f t="shared" si="61"/>
        <v>2.6849211072507145E-6</v>
      </c>
      <c r="AR155" s="38">
        <f t="shared" si="86"/>
        <v>3.4288941997824854E-6</v>
      </c>
      <c r="AS155" s="38">
        <f t="shared" si="87"/>
        <v>213.99471315298072</v>
      </c>
      <c r="AT155" s="38">
        <f t="shared" si="64"/>
        <v>1.3424605536253572E-6</v>
      </c>
      <c r="AU155" s="38">
        <f t="shared" si="88"/>
        <v>2.9249734154967647E-6</v>
      </c>
      <c r="AV155" s="38">
        <f t="shared" si="89"/>
        <v>147.04063576402302</v>
      </c>
      <c r="AW155" s="42"/>
      <c r="AX155" s="38">
        <v>3</v>
      </c>
      <c r="AY155" s="38" t="str">
        <f t="shared" si="90"/>
        <v/>
      </c>
      <c r="AZ155" s="38" t="e">
        <f t="shared" si="91"/>
        <v>#VALUE!</v>
      </c>
      <c r="BA155" s="38" t="e">
        <f t="shared" si="69"/>
        <v>#VALUE!</v>
      </c>
      <c r="BB155" s="38" t="e">
        <f t="shared" si="70"/>
        <v>#VALUE!</v>
      </c>
      <c r="BC155" s="38" t="e">
        <f t="shared" si="74"/>
        <v>#VALUE!</v>
      </c>
      <c r="BD155" s="38" t="e">
        <f t="shared" si="75"/>
        <v>#VALUE!</v>
      </c>
      <c r="BE155" s="38"/>
      <c r="BF155" s="38"/>
      <c r="BG155" s="38"/>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row>
    <row r="156" spans="1:194" ht="16.5" customHeight="1" x14ac:dyDescent="0.2">
      <c r="A156" s="1"/>
      <c r="I156" s="1"/>
      <c r="J156" s="1"/>
      <c r="K156" s="1"/>
      <c r="L156" s="1"/>
      <c r="M156" s="42"/>
      <c r="N156" s="42"/>
      <c r="O156" s="42"/>
      <c r="P156" s="42"/>
      <c r="Q156" s="42"/>
      <c r="R156" s="42"/>
      <c r="S156" s="42"/>
      <c r="T156" s="42"/>
      <c r="U156" s="42"/>
      <c r="V156" s="42"/>
      <c r="W156" s="42"/>
      <c r="X156" s="42"/>
      <c r="Y156" s="38">
        <v>99</v>
      </c>
      <c r="Z156" s="38">
        <f t="shared" si="71"/>
        <v>89.125093813374605</v>
      </c>
      <c r="AA156" s="38">
        <f t="shared" si="76"/>
        <v>23.320914279940407</v>
      </c>
      <c r="AB156" s="38">
        <f t="shared" si="77"/>
        <v>-88.022292303303232</v>
      </c>
      <c r="AC156" s="38">
        <f t="shared" si="78"/>
        <v>-41.552456556642362</v>
      </c>
      <c r="AD156" s="38">
        <f t="shared" si="79"/>
        <v>113.93501005977991</v>
      </c>
      <c r="AE156" s="38">
        <f t="shared" si="72"/>
        <v>-18.231542276701955</v>
      </c>
      <c r="AF156" s="38">
        <f t="shared" si="73"/>
        <v>25.912717756476681</v>
      </c>
      <c r="AH156" s="38">
        <v>99</v>
      </c>
      <c r="AI156" s="38">
        <f t="shared" si="80"/>
        <v>9.8999999999999991E-3</v>
      </c>
      <c r="AJ156" s="38">
        <f t="shared" si="81"/>
        <v>3.9979369343451059</v>
      </c>
      <c r="AK156" s="38">
        <f t="shared" si="55"/>
        <v>5.2826595964256195E-6</v>
      </c>
      <c r="AL156" s="38">
        <f t="shared" si="82"/>
        <v>5.1981806367771283E-6</v>
      </c>
      <c r="AM156" s="38">
        <f t="shared" si="83"/>
        <v>189.2985875290214</v>
      </c>
      <c r="AN156" s="38">
        <f t="shared" si="58"/>
        <v>3.9619946973192138E-6</v>
      </c>
      <c r="AO156" s="38">
        <f t="shared" si="84"/>
        <v>4.1291288918289961E-6</v>
      </c>
      <c r="AP156" s="38">
        <f t="shared" si="85"/>
        <v>225.0062034095024</v>
      </c>
      <c r="AQ156" s="38">
        <f t="shared" si="61"/>
        <v>2.6413297982128097E-6</v>
      </c>
      <c r="AR156" s="38">
        <f t="shared" si="86"/>
        <v>3.4398921025049937E-6</v>
      </c>
      <c r="AS156" s="38">
        <f t="shared" si="87"/>
        <v>216.13767286900986</v>
      </c>
      <c r="AT156" s="38">
        <f t="shared" si="64"/>
        <v>1.3206648991064049E-6</v>
      </c>
      <c r="AU156" s="38">
        <f t="shared" si="88"/>
        <v>2.9421517417264482E-6</v>
      </c>
      <c r="AV156" s="38">
        <f t="shared" si="89"/>
        <v>147.72703488829944</v>
      </c>
      <c r="AW156" s="42"/>
      <c r="AX156" s="38">
        <v>2</v>
      </c>
      <c r="AY156" s="38" t="str">
        <f t="shared" si="90"/>
        <v/>
      </c>
      <c r="AZ156" s="38" t="e">
        <f t="shared" si="91"/>
        <v>#VALUE!</v>
      </c>
      <c r="BA156" s="38" t="e">
        <f t="shared" si="69"/>
        <v>#VALUE!</v>
      </c>
      <c r="BB156" s="38" t="e">
        <f t="shared" si="70"/>
        <v>#VALUE!</v>
      </c>
      <c r="BC156" s="38" t="e">
        <f t="shared" si="74"/>
        <v>#VALUE!</v>
      </c>
      <c r="BD156" s="38" t="e">
        <f t="shared" si="75"/>
        <v>#VALUE!</v>
      </c>
      <c r="BE156" s="38"/>
      <c r="BF156" s="38"/>
      <c r="BG156" s="38"/>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row>
    <row r="157" spans="1:194" ht="16.5" customHeight="1" x14ac:dyDescent="0.2">
      <c r="A157" s="1"/>
      <c r="I157" s="1"/>
      <c r="J157" s="1"/>
      <c r="K157" s="1"/>
      <c r="L157" s="1"/>
      <c r="M157" s="42"/>
      <c r="N157" s="42"/>
      <c r="O157" s="42"/>
      <c r="P157" s="42"/>
      <c r="Q157" s="42"/>
      <c r="R157" s="42"/>
      <c r="S157" s="42"/>
      <c r="T157" s="42"/>
      <c r="U157" s="42"/>
      <c r="V157" s="42"/>
      <c r="W157" s="42"/>
      <c r="X157" s="42"/>
      <c r="Y157" s="38">
        <v>100</v>
      </c>
      <c r="Z157" s="38">
        <f t="shared" si="71"/>
        <v>100</v>
      </c>
      <c r="AA157" s="38">
        <f t="shared" si="76"/>
        <v>22.321978223616288</v>
      </c>
      <c r="AB157" s="38">
        <f t="shared" si="77"/>
        <v>-88.237222195662184</v>
      </c>
      <c r="AC157" s="38">
        <f t="shared" si="78"/>
        <v>-42.379501512507204</v>
      </c>
      <c r="AD157" s="38">
        <f t="shared" si="79"/>
        <v>111.65044664203272</v>
      </c>
      <c r="AE157" s="38">
        <f t="shared" si="72"/>
        <v>-20.057523288890916</v>
      </c>
      <c r="AF157" s="38">
        <f t="shared" si="73"/>
        <v>23.413224446370535</v>
      </c>
      <c r="AH157" s="38">
        <v>100</v>
      </c>
      <c r="AI157" s="38">
        <f t="shared" si="80"/>
        <v>0.01</v>
      </c>
      <c r="AJ157" s="38">
        <f t="shared" si="81"/>
        <v>1.5593594047669914E-14</v>
      </c>
      <c r="AK157" s="38">
        <f t="shared" si="55"/>
        <v>5.1981806367771291E-6</v>
      </c>
      <c r="AL157" s="38">
        <f t="shared" si="82"/>
        <v>5.1981806367771283E-6</v>
      </c>
      <c r="AM157" s="38">
        <f t="shared" si="83"/>
        <v>192.37499999999997</v>
      </c>
      <c r="AN157" s="38">
        <f t="shared" si="58"/>
        <v>3.898635477582846E-6</v>
      </c>
      <c r="AO157" s="38">
        <f t="shared" si="84"/>
        <v>4.1326738595690202E-6</v>
      </c>
      <c r="AP157" s="38">
        <f t="shared" si="85"/>
        <v>228.27080174925041</v>
      </c>
      <c r="AQ157" s="38">
        <f t="shared" si="61"/>
        <v>2.5990903183885646E-6</v>
      </c>
      <c r="AR157" s="38">
        <f t="shared" si="86"/>
        <v>3.4508445633185751E-6</v>
      </c>
      <c r="AS157" s="38">
        <f t="shared" si="87"/>
        <v>218.25820339316022</v>
      </c>
      <c r="AT157" s="38">
        <f t="shared" si="64"/>
        <v>1.2995451591942823E-6</v>
      </c>
      <c r="AU157" s="38">
        <f t="shared" si="88"/>
        <v>2.9592190744583502E-6</v>
      </c>
      <c r="AV157" s="38">
        <f t="shared" si="89"/>
        <v>148.40110696271049</v>
      </c>
      <c r="AW157" s="42"/>
      <c r="AX157" s="38">
        <v>1</v>
      </c>
      <c r="AY157" s="38" t="str">
        <f t="shared" si="90"/>
        <v/>
      </c>
      <c r="AZ157" s="38" t="e">
        <f t="shared" si="91"/>
        <v>#VALUE!</v>
      </c>
      <c r="BA157" s="38" t="e">
        <f t="shared" si="69"/>
        <v>#VALUE!</v>
      </c>
      <c r="BB157" s="38" t="e">
        <f t="shared" si="70"/>
        <v>#VALUE!</v>
      </c>
      <c r="BC157" s="38" t="e">
        <f t="shared" si="74"/>
        <v>#VALUE!</v>
      </c>
      <c r="BD157" s="38" t="e">
        <f t="shared" si="75"/>
        <v>#VALUE!</v>
      </c>
      <c r="BE157" s="38"/>
      <c r="BF157" s="38"/>
      <c r="BG157" s="38"/>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row>
    <row r="158" spans="1:194" ht="16.5" customHeight="1" x14ac:dyDescent="0.2">
      <c r="A158" s="1"/>
      <c r="I158" s="1"/>
      <c r="J158" s="1"/>
      <c r="K158" s="1"/>
      <c r="L158" s="1"/>
      <c r="M158" s="42"/>
      <c r="N158" s="42"/>
      <c r="O158" s="42"/>
      <c r="P158" s="42"/>
      <c r="Q158" s="42"/>
      <c r="R158" s="42"/>
      <c r="S158" s="42"/>
      <c r="T158" s="42"/>
      <c r="U158" s="42"/>
      <c r="V158" s="42"/>
      <c r="W158" s="42"/>
      <c r="X158" s="42"/>
      <c r="Y158" s="38">
        <v>101</v>
      </c>
      <c r="Z158" s="38">
        <f t="shared" si="71"/>
        <v>112.20184543019651</v>
      </c>
      <c r="AA158" s="38">
        <f t="shared" si="76"/>
        <v>21.322823529905758</v>
      </c>
      <c r="AB158" s="38">
        <f t="shared" si="77"/>
        <v>-88.428820682352978</v>
      </c>
      <c r="AC158" s="38">
        <f t="shared" si="78"/>
        <v>-43.236971067645491</v>
      </c>
      <c r="AD158" s="38">
        <f t="shared" si="79"/>
        <v>109.53156803511894</v>
      </c>
      <c r="AE158" s="38">
        <f t="shared" si="72"/>
        <v>-21.914147537739733</v>
      </c>
      <c r="AF158" s="38">
        <f t="shared" si="73"/>
        <v>21.102747352765959</v>
      </c>
      <c r="AJ158" s="38"/>
      <c r="AK158" s="38"/>
      <c r="AL158" s="38"/>
      <c r="AM158" s="38"/>
      <c r="AN158" s="38"/>
      <c r="AO158" s="38"/>
      <c r="AP158" s="38"/>
      <c r="AQ158" s="38"/>
      <c r="AR158" s="42"/>
      <c r="AS158" s="42"/>
      <c r="AT158" s="42"/>
      <c r="AU158" s="42"/>
      <c r="AV158" s="42"/>
      <c r="AW158" s="42"/>
      <c r="AX158" s="38"/>
      <c r="AY158" s="42"/>
      <c r="AZ158" s="42"/>
      <c r="BA158" s="38"/>
      <c r="BB158" s="38"/>
      <c r="BC158" s="38"/>
      <c r="BD158" s="38"/>
      <c r="BE158" s="38"/>
      <c r="BF158" s="38"/>
      <c r="BG158" s="38"/>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row>
    <row r="159" spans="1:194" ht="16.5" customHeight="1" x14ac:dyDescent="0.2">
      <c r="A159" s="1"/>
      <c r="I159" s="1"/>
      <c r="J159" s="1"/>
      <c r="K159" s="1"/>
      <c r="L159" s="1"/>
      <c r="M159" s="42"/>
      <c r="N159" s="42"/>
      <c r="O159" s="42"/>
      <c r="P159" s="42"/>
      <c r="Q159" s="42"/>
      <c r="R159" s="42"/>
      <c r="S159" s="42"/>
      <c r="T159" s="42"/>
      <c r="U159" s="42"/>
      <c r="V159" s="42"/>
      <c r="W159" s="42"/>
      <c r="X159" s="42"/>
      <c r="Y159" s="38">
        <v>102</v>
      </c>
      <c r="Z159" s="38">
        <f t="shared" si="71"/>
        <v>125.89254117941685</v>
      </c>
      <c r="AA159" s="38">
        <f t="shared" si="76"/>
        <v>20.323495097828982</v>
      </c>
      <c r="AB159" s="38">
        <f t="shared" si="77"/>
        <v>-88.599612771937657</v>
      </c>
      <c r="AC159" s="38">
        <f t="shared" si="78"/>
        <v>-44.120282936674911</v>
      </c>
      <c r="AD159" s="38">
        <f t="shared" si="79"/>
        <v>107.58048409780235</v>
      </c>
      <c r="AE159" s="38">
        <f t="shared" si="72"/>
        <v>-23.79678783884593</v>
      </c>
      <c r="AF159" s="38">
        <f t="shared" si="73"/>
        <v>18.980871325864697</v>
      </c>
      <c r="AJ159" s="38"/>
      <c r="AK159" s="38"/>
      <c r="AL159" s="38"/>
      <c r="AM159" s="38"/>
      <c r="AN159" s="38"/>
      <c r="AO159" s="38"/>
      <c r="AP159" s="38"/>
      <c r="AQ159" s="38"/>
      <c r="AR159" s="42"/>
      <c r="AS159" s="42"/>
      <c r="AT159" s="42"/>
      <c r="AU159" s="42"/>
      <c r="AV159" s="42"/>
      <c r="AW159" s="42"/>
      <c r="AX159" s="42"/>
      <c r="AY159" s="42"/>
      <c r="AZ159" s="42"/>
      <c r="BA159" s="38"/>
      <c r="BB159" s="38"/>
      <c r="BC159" s="38"/>
      <c r="BD159" s="38"/>
      <c r="BE159" s="38"/>
      <c r="BF159" s="38"/>
      <c r="BG159" s="38"/>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row>
    <row r="160" spans="1:194" ht="16.5" customHeight="1" x14ac:dyDescent="0.2">
      <c r="A160" s="1"/>
      <c r="I160" s="1"/>
      <c r="J160" s="1"/>
      <c r="K160" s="1"/>
      <c r="L160" s="1"/>
      <c r="M160" s="42"/>
      <c r="N160" s="42"/>
      <c r="O160" s="42"/>
      <c r="P160" s="42"/>
      <c r="Q160" s="42"/>
      <c r="R160" s="42"/>
      <c r="S160" s="42"/>
      <c r="T160" s="42"/>
      <c r="U160" s="42"/>
      <c r="V160" s="42"/>
      <c r="W160" s="42"/>
      <c r="X160" s="42"/>
      <c r="Y160" s="38">
        <v>103</v>
      </c>
      <c r="Z160" s="38">
        <f t="shared" si="71"/>
        <v>141.25375446227577</v>
      </c>
      <c r="AA160" s="38">
        <f t="shared" si="76"/>
        <v>19.32402861720788</v>
      </c>
      <c r="AB160" s="38">
        <f t="shared" si="77"/>
        <v>-88.751852456082204</v>
      </c>
      <c r="AC160" s="38">
        <f t="shared" si="78"/>
        <v>-45.025280194662592</v>
      </c>
      <c r="AD160" s="38">
        <f t="shared" si="79"/>
        <v>105.79474802095332</v>
      </c>
      <c r="AE160" s="38">
        <f t="shared" si="72"/>
        <v>-25.701251577454713</v>
      </c>
      <c r="AF160" s="38">
        <f t="shared" si="73"/>
        <v>17.042895564871117</v>
      </c>
      <c r="AJ160" s="38"/>
      <c r="AK160" s="38"/>
      <c r="AL160" s="38"/>
      <c r="AM160" s="38"/>
      <c r="AN160" s="38"/>
      <c r="AO160" s="38"/>
      <c r="AP160" s="38"/>
      <c r="AQ160" s="38"/>
      <c r="AR160" s="42"/>
      <c r="AS160" s="42"/>
      <c r="AT160" s="42"/>
      <c r="AU160" s="42"/>
      <c r="AV160" s="42"/>
      <c r="AW160" s="42"/>
      <c r="AX160" s="42"/>
      <c r="AY160" s="42"/>
      <c r="AZ160" s="42"/>
      <c r="BA160" s="38"/>
      <c r="BB160" s="38"/>
      <c r="BC160" s="38"/>
      <c r="BD160" s="38"/>
      <c r="BE160" s="38"/>
      <c r="BF160" s="38"/>
      <c r="BG160" s="38"/>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row>
    <row r="161" spans="1:194" ht="16.5" customHeight="1" x14ac:dyDescent="0.2">
      <c r="A161" s="1"/>
      <c r="I161" s="1"/>
      <c r="J161" s="1"/>
      <c r="K161" s="1"/>
      <c r="L161" s="1"/>
      <c r="M161" s="42"/>
      <c r="N161" s="42"/>
      <c r="O161" s="42"/>
      <c r="P161" s="42"/>
      <c r="Q161" s="42"/>
      <c r="R161" s="42"/>
      <c r="S161" s="42"/>
      <c r="T161" s="42"/>
      <c r="U161" s="42"/>
      <c r="V161" s="42"/>
      <c r="W161" s="42"/>
      <c r="X161" s="42"/>
      <c r="Y161" s="38">
        <v>104</v>
      </c>
      <c r="Z161" s="38">
        <f t="shared" si="71"/>
        <v>158.48931924611165</v>
      </c>
      <c r="AA161" s="38">
        <f t="shared" si="76"/>
        <v>18.324452453426925</v>
      </c>
      <c r="AB161" s="38">
        <f t="shared" si="77"/>
        <v>-88.887551140423625</v>
      </c>
      <c r="AC161" s="38">
        <f t="shared" si="78"/>
        <v>-45.948290165044213</v>
      </c>
      <c r="AD161" s="38">
        <f t="shared" si="79"/>
        <v>104.16854578534655</v>
      </c>
      <c r="AE161" s="38">
        <f t="shared" si="72"/>
        <v>-27.623837711617288</v>
      </c>
      <c r="AF161" s="38">
        <f t="shared" si="73"/>
        <v>15.280994644922927</v>
      </c>
      <c r="AQ161" s="38"/>
      <c r="AR161" s="42"/>
      <c r="AS161" s="42"/>
      <c r="AT161" s="42"/>
      <c r="AU161" s="42"/>
      <c r="AV161" s="42"/>
      <c r="AW161" s="42"/>
      <c r="AX161" s="42"/>
      <c r="AY161" s="42"/>
      <c r="AZ161" s="42"/>
      <c r="BA161" s="38"/>
      <c r="BB161" s="38"/>
      <c r="BC161" s="38"/>
      <c r="BD161" s="38"/>
      <c r="BE161" s="38"/>
      <c r="BF161" s="38"/>
      <c r="BG161" s="38"/>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row>
    <row r="162" spans="1:194" ht="16.5" customHeight="1" x14ac:dyDescent="0.2">
      <c r="A162" s="1"/>
      <c r="I162" s="1"/>
      <c r="J162" s="1"/>
      <c r="K162" s="1"/>
      <c r="L162" s="1"/>
      <c r="M162" s="42"/>
      <c r="N162" s="42"/>
      <c r="O162" s="42"/>
      <c r="P162" s="42"/>
      <c r="Q162" s="42"/>
      <c r="R162" s="42"/>
      <c r="S162" s="42"/>
      <c r="T162" s="42"/>
      <c r="U162" s="42"/>
      <c r="V162" s="42"/>
      <c r="W162" s="42"/>
      <c r="X162" s="42"/>
      <c r="Y162" s="38">
        <v>105</v>
      </c>
      <c r="Z162" s="38">
        <f t="shared" si="71"/>
        <v>177.82794100389251</v>
      </c>
      <c r="AA162" s="38">
        <f t="shared" si="76"/>
        <v>17.324789147982123</v>
      </c>
      <c r="AB162" s="38">
        <f t="shared" si="77"/>
        <v>-89.008503286934371</v>
      </c>
      <c r="AC162" s="38">
        <f t="shared" si="78"/>
        <v>-46.886136073029185</v>
      </c>
      <c r="AD162" s="38">
        <f t="shared" si="79"/>
        <v>102.69374954699991</v>
      </c>
      <c r="AE162" s="38">
        <f t="shared" si="72"/>
        <v>-29.561346925047062</v>
      </c>
      <c r="AF162" s="38">
        <f t="shared" si="73"/>
        <v>13.68524626006554</v>
      </c>
      <c r="AQ162" s="38"/>
      <c r="AR162" s="42"/>
      <c r="AS162" s="42"/>
      <c r="AT162" s="42"/>
      <c r="AU162" s="42"/>
      <c r="AV162" s="42"/>
      <c r="AW162" s="42"/>
      <c r="AX162" s="42"/>
      <c r="AY162" s="42"/>
      <c r="AZ162" s="42"/>
      <c r="BA162" s="38"/>
      <c r="BB162" s="38"/>
      <c r="BC162" s="38"/>
      <c r="BD162" s="38"/>
      <c r="BE162" s="38"/>
      <c r="BF162" s="38"/>
      <c r="BG162" s="38"/>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row>
    <row r="163" spans="1:194" ht="16.5" customHeight="1" x14ac:dyDescent="0.2">
      <c r="A163" s="1"/>
      <c r="I163" s="1"/>
      <c r="J163" s="1"/>
      <c r="K163" s="1"/>
      <c r="L163" s="1"/>
      <c r="M163" s="42"/>
      <c r="N163" s="42"/>
      <c r="O163" s="42"/>
      <c r="P163" s="42"/>
      <c r="Q163" s="42"/>
      <c r="R163" s="42"/>
      <c r="S163" s="42"/>
      <c r="T163" s="42"/>
      <c r="U163" s="42"/>
      <c r="V163" s="42"/>
      <c r="W163" s="42"/>
      <c r="X163" s="42"/>
      <c r="Y163" s="38">
        <v>106</v>
      </c>
      <c r="Z163" s="38">
        <f t="shared" si="71"/>
        <v>199.52623149688813</v>
      </c>
      <c r="AA163" s="38">
        <f t="shared" si="76"/>
        <v>16.32505661257705</v>
      </c>
      <c r="AB163" s="38">
        <f t="shared" si="77"/>
        <v>-89.116309482872325</v>
      </c>
      <c r="AC163" s="38">
        <f t="shared" si="78"/>
        <v>-47.83611648247976</v>
      </c>
      <c r="AD163" s="38">
        <f t="shared" si="79"/>
        <v>101.36079147652821</v>
      </c>
      <c r="AE163" s="38">
        <f t="shared" si="72"/>
        <v>-31.511059869902709</v>
      </c>
      <c r="AF163" s="38">
        <f t="shared" si="73"/>
        <v>12.244481993655882</v>
      </c>
      <c r="AQ163" s="38"/>
      <c r="AR163" s="42"/>
      <c r="AS163" s="42"/>
      <c r="AT163" s="42"/>
      <c r="AU163" s="42"/>
      <c r="AV163" s="42"/>
      <c r="AW163" s="42"/>
      <c r="AX163" s="42"/>
      <c r="AY163" s="42"/>
      <c r="AZ163" s="42"/>
      <c r="BA163" s="38"/>
      <c r="BB163" s="38"/>
      <c r="BC163" s="38"/>
      <c r="BD163" s="38"/>
      <c r="BE163" s="38"/>
      <c r="BF163" s="38"/>
      <c r="BG163" s="38"/>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row>
    <row r="164" spans="1:194" ht="16.5" customHeight="1" x14ac:dyDescent="0.2">
      <c r="A164" s="1"/>
      <c r="I164" s="1"/>
      <c r="J164" s="1"/>
      <c r="K164" s="1"/>
      <c r="L164" s="1"/>
      <c r="M164" s="42"/>
      <c r="N164" s="42"/>
      <c r="O164" s="42"/>
      <c r="P164" s="42"/>
      <c r="Q164" s="42"/>
      <c r="R164" s="42"/>
      <c r="S164" s="42"/>
      <c r="T164" s="42"/>
      <c r="U164" s="42"/>
      <c r="V164" s="42"/>
      <c r="W164" s="42"/>
      <c r="X164" s="42"/>
      <c r="Y164" s="38">
        <v>107</v>
      </c>
      <c r="Z164" s="38">
        <f t="shared" si="71"/>
        <v>223.87211385683403</v>
      </c>
      <c r="AA164" s="38">
        <f t="shared" si="76"/>
        <v>15.325269078995916</v>
      </c>
      <c r="AB164" s="38">
        <f t="shared" si="77"/>
        <v>-89.212397153574415</v>
      </c>
      <c r="AC164" s="38">
        <f t="shared" si="78"/>
        <v>-48.795965376369523</v>
      </c>
      <c r="AD164" s="38">
        <f t="shared" si="79"/>
        <v>100.1593509287184</v>
      </c>
      <c r="AE164" s="38">
        <f t="shared" si="72"/>
        <v>-33.470696297373607</v>
      </c>
      <c r="AF164" s="38">
        <f t="shared" si="73"/>
        <v>10.946953775143982</v>
      </c>
      <c r="AQ164" s="38"/>
      <c r="AR164" s="42"/>
      <c r="AS164" s="42"/>
      <c r="AT164" s="42"/>
      <c r="AU164" s="42"/>
      <c r="AV164" s="42"/>
      <c r="AW164" s="42"/>
      <c r="AX164" s="42"/>
      <c r="AY164" s="42"/>
      <c r="AZ164" s="42"/>
      <c r="BA164" s="38"/>
      <c r="BB164" s="38"/>
      <c r="BC164" s="38"/>
      <c r="BD164" s="38"/>
      <c r="BE164" s="38"/>
      <c r="BF164" s="38"/>
      <c r="BG164" s="38"/>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row>
    <row r="165" spans="1:194" ht="16.5" customHeight="1" x14ac:dyDescent="0.2">
      <c r="A165" s="1"/>
      <c r="I165" s="1"/>
      <c r="J165" s="1"/>
      <c r="K165" s="1"/>
      <c r="L165" s="1"/>
      <c r="M165" s="42"/>
      <c r="N165" s="42"/>
      <c r="O165" s="42"/>
      <c r="P165" s="42"/>
      <c r="Q165" s="42"/>
      <c r="R165" s="42"/>
      <c r="S165" s="42"/>
      <c r="T165" s="42"/>
      <c r="U165" s="42"/>
      <c r="V165" s="42"/>
      <c r="W165" s="42"/>
      <c r="X165" s="42"/>
      <c r="Y165" s="38">
        <v>108</v>
      </c>
      <c r="Z165" s="38">
        <f t="shared" si="71"/>
        <v>251.18864315095846</v>
      </c>
      <c r="AA165" s="38">
        <f t="shared" si="76"/>
        <v>14.325437854479091</v>
      </c>
      <c r="AB165" s="38">
        <f t="shared" si="77"/>
        <v>-89.298039130900705</v>
      </c>
      <c r="AC165" s="38">
        <f t="shared" si="78"/>
        <v>-49.763802722239561</v>
      </c>
      <c r="AD165" s="38">
        <f t="shared" si="79"/>
        <v>99.078869738958431</v>
      </c>
      <c r="AE165" s="38">
        <f t="shared" si="72"/>
        <v>-35.43836486776047</v>
      </c>
      <c r="AF165" s="38">
        <f t="shared" si="73"/>
        <v>9.7808306080577267</v>
      </c>
      <c r="AQ165" s="38"/>
      <c r="AR165" s="42"/>
      <c r="AS165" s="42"/>
      <c r="AT165" s="42"/>
      <c r="AU165" s="42"/>
      <c r="AV165" s="42"/>
      <c r="AW165" s="42"/>
      <c r="AX165" s="42"/>
      <c r="AY165" s="42"/>
      <c r="AZ165" s="42"/>
      <c r="BA165" s="38"/>
      <c r="BB165" s="38"/>
      <c r="BC165" s="38"/>
      <c r="BD165" s="38"/>
      <c r="BE165" s="38"/>
      <c r="BF165" s="38"/>
      <c r="BG165" s="38"/>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row>
    <row r="166" spans="1:194" ht="16.5" customHeight="1" x14ac:dyDescent="0.2">
      <c r="A166" s="1"/>
      <c r="I166" s="1"/>
      <c r="J166" s="1"/>
      <c r="K166" s="1"/>
      <c r="L166" s="1"/>
      <c r="M166" s="42"/>
      <c r="N166" s="42"/>
      <c r="O166" s="42"/>
      <c r="P166" s="42"/>
      <c r="Q166" s="42"/>
      <c r="R166" s="42"/>
      <c r="S166" s="42"/>
      <c r="T166" s="42"/>
      <c r="U166" s="42"/>
      <c r="V166" s="42"/>
      <c r="W166" s="42"/>
      <c r="X166" s="42"/>
      <c r="Y166" s="38">
        <v>109</v>
      </c>
      <c r="Z166" s="38">
        <f t="shared" si="71"/>
        <v>281.83829312644576</v>
      </c>
      <c r="AA166" s="38">
        <f t="shared" si="76"/>
        <v>13.325571922285064</v>
      </c>
      <c r="AB166" s="38">
        <f t="shared" si="77"/>
        <v>-89.374370279016986</v>
      </c>
      <c r="AC166" s="38">
        <f t="shared" si="78"/>
        <v>-50.738082384201277</v>
      </c>
      <c r="AD166" s="38">
        <f t="shared" si="79"/>
        <v>98.108921018899039</v>
      </c>
      <c r="AE166" s="38">
        <f t="shared" si="72"/>
        <v>-37.412510461916213</v>
      </c>
      <c r="AF166" s="38">
        <f t="shared" si="73"/>
        <v>8.734550739882053</v>
      </c>
      <c r="AQ166" s="38"/>
      <c r="AR166" s="42"/>
      <c r="AS166" s="42"/>
      <c r="AT166" s="42"/>
      <c r="AU166" s="42"/>
      <c r="AV166" s="42"/>
      <c r="AW166" s="42"/>
      <c r="AX166" s="42"/>
      <c r="AY166" s="42"/>
      <c r="AZ166" s="42"/>
      <c r="BA166" s="38"/>
      <c r="BB166" s="38"/>
      <c r="BC166" s="38"/>
      <c r="BD166" s="38"/>
      <c r="BE166" s="38"/>
      <c r="BF166" s="38"/>
      <c r="BG166" s="38"/>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row>
    <row r="167" spans="1:194" ht="16.5" customHeight="1" x14ac:dyDescent="0.2">
      <c r="A167" s="1"/>
      <c r="I167" s="1"/>
      <c r="J167" s="1"/>
      <c r="K167" s="1"/>
      <c r="L167" s="1"/>
      <c r="M167" s="42"/>
      <c r="N167" s="42"/>
      <c r="O167" s="42"/>
      <c r="P167" s="42"/>
      <c r="Q167" s="42"/>
      <c r="R167" s="42"/>
      <c r="S167" s="42"/>
      <c r="T167" s="42"/>
      <c r="U167" s="42"/>
      <c r="V167" s="42"/>
      <c r="W167" s="42"/>
      <c r="X167" s="42"/>
      <c r="Y167" s="38">
        <v>110</v>
      </c>
      <c r="Z167" s="38">
        <f t="shared" si="71"/>
        <v>316.22776601683819</v>
      </c>
      <c r="AA167" s="38">
        <f t="shared" si="76"/>
        <v>12.325678419078216</v>
      </c>
      <c r="AB167" s="38">
        <f t="shared" si="77"/>
        <v>-89.4424023664386</v>
      </c>
      <c r="AC167" s="38">
        <f t="shared" si="78"/>
        <v>-51.717541742480421</v>
      </c>
      <c r="AD167" s="38">
        <f t="shared" si="79"/>
        <v>97.239459773616332</v>
      </c>
      <c r="AE167" s="38">
        <f t="shared" si="72"/>
        <v>-39.391863323402205</v>
      </c>
      <c r="AF167" s="38">
        <f t="shared" si="73"/>
        <v>7.7970574071777321</v>
      </c>
      <c r="AQ167" s="38"/>
      <c r="AR167" s="42"/>
      <c r="AS167" s="42"/>
      <c r="AT167" s="42"/>
      <c r="AU167" s="42"/>
      <c r="AV167" s="42"/>
      <c r="AW167" s="42"/>
      <c r="AX167" s="42"/>
      <c r="AY167" s="42"/>
      <c r="AZ167" s="42"/>
      <c r="BA167" s="38"/>
      <c r="BB167" s="38"/>
      <c r="BC167" s="38"/>
      <c r="BD167" s="38"/>
      <c r="BE167" s="38"/>
      <c r="BF167" s="38"/>
      <c r="BG167" s="38"/>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row>
    <row r="168" spans="1:194" ht="16.5" customHeight="1" x14ac:dyDescent="0.2">
      <c r="A168" s="1"/>
      <c r="I168" s="1"/>
      <c r="J168" s="1"/>
      <c r="K168" s="1"/>
      <c r="L168" s="1"/>
      <c r="M168" s="42"/>
      <c r="N168" s="42"/>
      <c r="O168" s="42"/>
      <c r="P168" s="42"/>
      <c r="Q168" s="42"/>
      <c r="R168" s="42"/>
      <c r="S168" s="42"/>
      <c r="T168" s="42"/>
      <c r="U168" s="42"/>
      <c r="V168" s="42"/>
      <c r="W168" s="42"/>
      <c r="X168" s="42"/>
      <c r="Y168" s="38">
        <v>111</v>
      </c>
      <c r="Z168" s="38">
        <f t="shared" si="71"/>
        <v>354.81338923357555</v>
      </c>
      <c r="AA168" s="38">
        <f t="shared" si="76"/>
        <v>11.325763014349025</v>
      </c>
      <c r="AB168" s="38">
        <f t="shared" si="77"/>
        <v>-89.503037359219022</v>
      </c>
      <c r="AC168" s="38">
        <f t="shared" si="78"/>
        <v>-52.701155491270967</v>
      </c>
      <c r="AD168" s="38">
        <f t="shared" si="79"/>
        <v>96.460982184320315</v>
      </c>
      <c r="AE168" s="38">
        <f t="shared" si="72"/>
        <v>-41.375392476921945</v>
      </c>
      <c r="AF168" s="38">
        <f t="shared" si="73"/>
        <v>6.9579448251012934</v>
      </c>
      <c r="AR168" s="1"/>
      <c r="AS168" s="1"/>
      <c r="AT168" s="1"/>
      <c r="AU168" s="1"/>
      <c r="AV168" s="1"/>
      <c r="AW168" s="1"/>
      <c r="AX168" s="1"/>
      <c r="AY168" s="1"/>
      <c r="AZ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row>
    <row r="169" spans="1:194" ht="16.5" customHeight="1" x14ac:dyDescent="0.2">
      <c r="A169" s="1"/>
      <c r="I169" s="1"/>
      <c r="J169" s="1"/>
      <c r="K169" s="1"/>
      <c r="L169" s="1"/>
      <c r="M169" s="42"/>
      <c r="N169" s="42"/>
      <c r="O169" s="42"/>
      <c r="P169" s="42"/>
      <c r="Q169" s="42"/>
      <c r="R169" s="42"/>
      <c r="S169" s="42"/>
      <c r="T169" s="42"/>
      <c r="U169" s="42"/>
      <c r="V169" s="42"/>
      <c r="W169" s="42"/>
      <c r="X169" s="42"/>
      <c r="Y169" s="38">
        <v>112</v>
      </c>
      <c r="Z169" s="38">
        <f t="shared" si="71"/>
        <v>398.10717055349716</v>
      </c>
      <c r="AA169" s="38">
        <f t="shared" si="76"/>
        <v>10.325830211935479</v>
      </c>
      <c r="AB169" s="38">
        <f t="shared" si="77"/>
        <v>-89.557079295761667</v>
      </c>
      <c r="AC169" s="38">
        <f t="shared" si="78"/>
        <v>-53.688094767918216</v>
      </c>
      <c r="AD169" s="38">
        <f t="shared" si="79"/>
        <v>95.764616799442891</v>
      </c>
      <c r="AE169" s="38">
        <f t="shared" si="72"/>
        <v>-43.362264555982733</v>
      </c>
      <c r="AF169" s="38">
        <f t="shared" si="73"/>
        <v>6.2075375036812233</v>
      </c>
      <c r="AR169" s="1"/>
      <c r="AS169" s="1"/>
      <c r="AT169" s="1"/>
      <c r="AU169" s="1"/>
      <c r="AV169" s="1"/>
      <c r="AW169" s="1"/>
      <c r="AX169" s="1"/>
      <c r="AY169" s="1"/>
      <c r="AZ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row>
    <row r="170" spans="1:194" ht="16.5" customHeight="1" x14ac:dyDescent="0.2">
      <c r="A170" s="1"/>
      <c r="I170" s="1"/>
      <c r="J170" s="1"/>
      <c r="K170" s="1"/>
      <c r="L170" s="1"/>
      <c r="M170" s="42"/>
      <c r="N170" s="42"/>
      <c r="O170" s="42"/>
      <c r="P170" s="42"/>
      <c r="Q170" s="42"/>
      <c r="R170" s="42"/>
      <c r="S170" s="42"/>
      <c r="T170" s="42"/>
      <c r="U170" s="42"/>
      <c r="V170" s="42"/>
      <c r="W170" s="42"/>
      <c r="X170" s="42"/>
      <c r="Y170" s="38">
        <v>113</v>
      </c>
      <c r="Z170" s="38">
        <f t="shared" si="71"/>
        <v>446.68359215096444</v>
      </c>
      <c r="AA170" s="38">
        <f t="shared" si="76"/>
        <v>9.325883589616641</v>
      </c>
      <c r="AB170" s="38">
        <f t="shared" si="77"/>
        <v>-89.605244889552836</v>
      </c>
      <c r="AC170" s="38">
        <f t="shared" si="78"/>
        <v>-54.67769191335843</v>
      </c>
      <c r="AD170" s="38">
        <f t="shared" si="79"/>
        <v>95.142166610456357</v>
      </c>
      <c r="AE170" s="38">
        <f t="shared" si="72"/>
        <v>-45.351808323741793</v>
      </c>
      <c r="AF170" s="38">
        <f t="shared" si="73"/>
        <v>5.5369217209035213</v>
      </c>
      <c r="AR170" s="1"/>
      <c r="AS170" s="1"/>
      <c r="AT170" s="1"/>
      <c r="AU170" s="1"/>
      <c r="AV170" s="1"/>
      <c r="AW170" s="1"/>
      <c r="AX170" s="1"/>
      <c r="AY170" s="1"/>
      <c r="AZ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row>
    <row r="171" spans="1:194" ht="16.5" customHeight="1" x14ac:dyDescent="0.2">
      <c r="A171" s="1"/>
      <c r="I171" s="1"/>
      <c r="J171" s="1"/>
      <c r="K171" s="1"/>
      <c r="L171" s="1"/>
      <c r="M171" s="42"/>
      <c r="N171" s="42"/>
      <c r="O171" s="42"/>
      <c r="P171" s="42"/>
      <c r="Q171" s="42"/>
      <c r="R171" s="42"/>
      <c r="S171" s="42"/>
      <c r="T171" s="42"/>
      <c r="U171" s="42"/>
      <c r="V171" s="42"/>
      <c r="W171" s="42"/>
      <c r="X171" s="42"/>
      <c r="Y171" s="38">
        <v>114</v>
      </c>
      <c r="Z171" s="38">
        <f t="shared" si="71"/>
        <v>501.18723362727349</v>
      </c>
      <c r="AA171" s="38">
        <f t="shared" si="76"/>
        <v>8.3259259894834514</v>
      </c>
      <c r="AB171" s="38">
        <f t="shared" si="77"/>
        <v>-89.648172992522063</v>
      </c>
      <c r="AC171" s="38">
        <f t="shared" si="78"/>
        <v>-55.669410654728594</v>
      </c>
      <c r="AD171" s="38">
        <f t="shared" si="79"/>
        <v>94.586116867907393</v>
      </c>
      <c r="AE171" s="38">
        <f t="shared" si="72"/>
        <v>-47.343484665245143</v>
      </c>
      <c r="AF171" s="38">
        <f t="shared" si="73"/>
        <v>4.9379438753853293</v>
      </c>
      <c r="AR171" s="1"/>
      <c r="AS171" s="1"/>
      <c r="AT171" s="1"/>
      <c r="AU171" s="1"/>
      <c r="AV171" s="1"/>
      <c r="AW171" s="1"/>
      <c r="AX171" s="1"/>
      <c r="AY171" s="1"/>
      <c r="AZ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row>
    <row r="172" spans="1:194" ht="16.5" customHeight="1" x14ac:dyDescent="0.2">
      <c r="A172" s="1"/>
      <c r="I172" s="1"/>
      <c r="J172" s="1"/>
      <c r="K172" s="1"/>
      <c r="L172" s="1"/>
      <c r="M172" s="42"/>
      <c r="N172" s="42"/>
      <c r="O172" s="42"/>
      <c r="P172" s="42"/>
      <c r="Q172" s="42"/>
      <c r="R172" s="42"/>
      <c r="S172" s="42"/>
      <c r="T172" s="42"/>
      <c r="U172" s="42"/>
      <c r="V172" s="42"/>
      <c r="W172" s="42"/>
      <c r="X172" s="42"/>
      <c r="Y172" s="38">
        <v>115</v>
      </c>
      <c r="Z172" s="38">
        <f t="shared" si="71"/>
        <v>562.34132519035018</v>
      </c>
      <c r="AA172" s="38">
        <f t="shared" si="76"/>
        <v>7.3259596691898068</v>
      </c>
      <c r="AB172" s="38">
        <f t="shared" si="77"/>
        <v>-89.686433038947229</v>
      </c>
      <c r="AC172" s="38">
        <f t="shared" si="78"/>
        <v>-56.662821229801409</v>
      </c>
      <c r="AD172" s="38">
        <f t="shared" si="79"/>
        <v>94.089619897183226</v>
      </c>
      <c r="AE172" s="38">
        <f t="shared" si="72"/>
        <v>-49.336861560611602</v>
      </c>
      <c r="AF172" s="38">
        <f t="shared" si="73"/>
        <v>4.4031868582359976</v>
      </c>
      <c r="AR172" s="1"/>
      <c r="AS172" s="1"/>
      <c r="AT172" s="1"/>
      <c r="AU172" s="1"/>
      <c r="AV172" s="1"/>
      <c r="AW172" s="1"/>
      <c r="AX172" s="1"/>
      <c r="AY172" s="1"/>
      <c r="AZ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row>
    <row r="173" spans="1:194" ht="16.5" customHeight="1" x14ac:dyDescent="0.2">
      <c r="A173" s="1"/>
      <c r="I173" s="1"/>
      <c r="J173" s="1"/>
      <c r="K173" s="1"/>
      <c r="L173" s="1"/>
      <c r="M173" s="42"/>
      <c r="N173" s="42"/>
      <c r="O173" s="42"/>
      <c r="P173" s="42"/>
      <c r="Q173" s="42"/>
      <c r="R173" s="42"/>
      <c r="S173" s="42"/>
      <c r="T173" s="42"/>
      <c r="U173" s="42"/>
      <c r="V173" s="42"/>
      <c r="W173" s="42"/>
      <c r="X173" s="42"/>
      <c r="Y173" s="38">
        <v>116</v>
      </c>
      <c r="Z173" s="38">
        <f t="shared" si="71"/>
        <v>630.95734448019414</v>
      </c>
      <c r="AA173" s="38">
        <f t="shared" si="76"/>
        <v>6.3259864221176372</v>
      </c>
      <c r="AB173" s="38">
        <f t="shared" si="77"/>
        <v>-89.720532577944411</v>
      </c>
      <c r="AC173" s="38">
        <f t="shared" si="78"/>
        <v>-57.657579856248944</v>
      </c>
      <c r="AD173" s="38">
        <f t="shared" si="79"/>
        <v>93.646465223465938</v>
      </c>
      <c r="AE173" s="38">
        <f t="shared" si="72"/>
        <v>-51.331593434131307</v>
      </c>
      <c r="AF173" s="38">
        <f t="shared" si="73"/>
        <v>3.9259326455215273</v>
      </c>
      <c r="AR173" s="1"/>
      <c r="AS173" s="1"/>
      <c r="AT173" s="1"/>
      <c r="AU173" s="1"/>
      <c r="AV173" s="1"/>
      <c r="AW173" s="1"/>
      <c r="AX173" s="1"/>
      <c r="AY173" s="1"/>
      <c r="AZ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row>
    <row r="174" spans="1:194" ht="16.5" customHeight="1" x14ac:dyDescent="0.2">
      <c r="A174" s="1"/>
      <c r="I174" s="1"/>
      <c r="J174" s="1"/>
      <c r="K174" s="1"/>
      <c r="L174" s="1"/>
      <c r="M174" s="42"/>
      <c r="N174" s="42"/>
      <c r="O174" s="42"/>
      <c r="P174" s="42"/>
      <c r="Q174" s="42"/>
      <c r="R174" s="42"/>
      <c r="S174" s="42"/>
      <c r="T174" s="42"/>
      <c r="U174" s="42"/>
      <c r="V174" s="42"/>
      <c r="W174" s="42"/>
      <c r="X174" s="42"/>
      <c r="Y174" s="38">
        <v>117</v>
      </c>
      <c r="Z174" s="38">
        <f t="shared" si="71"/>
        <v>707.94578438413851</v>
      </c>
      <c r="AA174" s="38">
        <f t="shared" si="76"/>
        <v>5.3260076728410208</v>
      </c>
      <c r="AB174" s="38">
        <f t="shared" si="77"/>
        <v>-89.75092399165807</v>
      </c>
      <c r="AC174" s="38">
        <f t="shared" si="78"/>
        <v>-58.653411926519986</v>
      </c>
      <c r="AD174" s="38">
        <f t="shared" si="79"/>
        <v>93.251040994351456</v>
      </c>
      <c r="AE174" s="38">
        <f t="shared" si="72"/>
        <v>-53.327404253678964</v>
      </c>
      <c r="AF174" s="38">
        <f t="shared" si="73"/>
        <v>3.5001170026933863</v>
      </c>
      <c r="AR174" s="1"/>
      <c r="AS174" s="1"/>
      <c r="AT174" s="1"/>
      <c r="AU174" s="1"/>
      <c r="AV174" s="1"/>
      <c r="AW174" s="1"/>
      <c r="AX174" s="1"/>
      <c r="AY174" s="1"/>
      <c r="AZ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row>
    <row r="175" spans="1:194" ht="16.5" customHeight="1" x14ac:dyDescent="0.2">
      <c r="A175" s="1"/>
      <c r="I175" s="1"/>
      <c r="J175" s="1"/>
      <c r="K175" s="1"/>
      <c r="L175" s="1"/>
      <c r="M175" s="42"/>
      <c r="N175" s="42"/>
      <c r="O175" s="42"/>
      <c r="P175" s="42"/>
      <c r="Q175" s="42"/>
      <c r="R175" s="42"/>
      <c r="S175" s="42"/>
      <c r="T175" s="42"/>
      <c r="U175" s="42"/>
      <c r="V175" s="42"/>
      <c r="W175" s="42"/>
      <c r="X175" s="42"/>
      <c r="Y175" s="38">
        <v>118</v>
      </c>
      <c r="Z175" s="38">
        <f t="shared" si="71"/>
        <v>794.32823472428333</v>
      </c>
      <c r="AA175" s="38">
        <f t="shared" si="76"/>
        <v>4.3260245529647001</v>
      </c>
      <c r="AB175" s="38">
        <f t="shared" si="77"/>
        <v>-89.778010486289162</v>
      </c>
      <c r="AC175" s="38">
        <f t="shared" si="78"/>
        <v>-59.650098340241172</v>
      </c>
      <c r="AD175" s="38">
        <f t="shared" si="79"/>
        <v>92.898290917447667</v>
      </c>
      <c r="AE175" s="38">
        <f t="shared" si="72"/>
        <v>-55.324073787276475</v>
      </c>
      <c r="AF175" s="38">
        <f t="shared" si="73"/>
        <v>3.1202804311585055</v>
      </c>
      <c r="AR175" s="1"/>
      <c r="AS175" s="1"/>
      <c r="AT175" s="1"/>
      <c r="AU175" s="1"/>
      <c r="AV175" s="1"/>
      <c r="AW175" s="1"/>
      <c r="AX175" s="1"/>
      <c r="AY175" s="1"/>
      <c r="AZ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row>
    <row r="176" spans="1:194" ht="16.5" customHeight="1" x14ac:dyDescent="0.2">
      <c r="A176" s="1"/>
      <c r="I176" s="1"/>
      <c r="J176" s="1"/>
      <c r="K176" s="1"/>
      <c r="L176" s="1"/>
      <c r="M176" s="42"/>
      <c r="N176" s="42"/>
      <c r="O176" s="42"/>
      <c r="P176" s="42"/>
      <c r="Q176" s="42"/>
      <c r="R176" s="42"/>
      <c r="S176" s="42"/>
      <c r="T176" s="42"/>
      <c r="U176" s="42"/>
      <c r="V176" s="42"/>
      <c r="W176" s="42"/>
      <c r="X176" s="42"/>
      <c r="Y176" s="38">
        <v>119</v>
      </c>
      <c r="Z176" s="38">
        <f t="shared" si="71"/>
        <v>891.25093813374713</v>
      </c>
      <c r="AA176" s="38">
        <f t="shared" si="76"/>
        <v>3.3260379613703144</v>
      </c>
      <c r="AB176" s="38">
        <f t="shared" si="77"/>
        <v>-89.802151434036574</v>
      </c>
      <c r="AC176" s="38">
        <f t="shared" si="78"/>
        <v>-60.647464443832945</v>
      </c>
      <c r="AD176" s="38">
        <f t="shared" si="79"/>
        <v>92.583669610255825</v>
      </c>
      <c r="AE176" s="38">
        <f t="shared" si="72"/>
        <v>-57.321426482462627</v>
      </c>
      <c r="AF176" s="38">
        <f t="shared" si="73"/>
        <v>2.7815181762192509</v>
      </c>
      <c r="AR176" s="1"/>
      <c r="AS176" s="1"/>
      <c r="AT176" s="1"/>
      <c r="AU176" s="1"/>
      <c r="AV176" s="1"/>
      <c r="AW176" s="1"/>
      <c r="AX176" s="1"/>
      <c r="AY176" s="1"/>
      <c r="AZ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row>
    <row r="177" spans="1:194" ht="16.5" customHeight="1" x14ac:dyDescent="0.2">
      <c r="A177" s="1"/>
      <c r="I177" s="1"/>
      <c r="J177" s="1"/>
      <c r="K177" s="1"/>
      <c r="L177" s="1"/>
      <c r="M177" s="42"/>
      <c r="N177" s="42"/>
      <c r="O177" s="42"/>
      <c r="P177" s="42"/>
      <c r="Q177" s="42"/>
      <c r="R177" s="42"/>
      <c r="S177" s="42"/>
      <c r="T177" s="42"/>
      <c r="U177" s="42"/>
      <c r="V177" s="42"/>
      <c r="W177" s="42"/>
      <c r="X177" s="42"/>
      <c r="Y177" s="38">
        <v>120</v>
      </c>
      <c r="Z177" s="38">
        <f t="shared" si="71"/>
        <v>1000</v>
      </c>
      <c r="AA177" s="38">
        <f t="shared" si="76"/>
        <v>2.3260486120749904</v>
      </c>
      <c r="AB177" s="38">
        <f t="shared" si="77"/>
        <v>-89.823667135829382</v>
      </c>
      <c r="AC177" s="38">
        <f t="shared" si="78"/>
        <v>-61.645371114979049</v>
      </c>
      <c r="AD177" s="38">
        <f t="shared" si="79"/>
        <v>92.303098294815243</v>
      </c>
      <c r="AE177" s="38">
        <f t="shared" si="72"/>
        <v>-59.319322502904058</v>
      </c>
      <c r="AF177" s="38">
        <f t="shared" si="73"/>
        <v>2.4794311589858609</v>
      </c>
      <c r="AR177" s="1"/>
      <c r="AS177" s="1"/>
      <c r="AT177" s="1"/>
      <c r="AU177" s="1"/>
      <c r="AV177" s="1"/>
      <c r="AW177" s="1"/>
      <c r="AX177" s="1"/>
      <c r="AY177" s="1"/>
      <c r="AZ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row>
    <row r="178" spans="1:194" ht="16.5" customHeight="1" x14ac:dyDescent="0.2">
      <c r="A178" s="1"/>
      <c r="I178" s="1"/>
      <c r="J178" s="1"/>
      <c r="K178" s="1"/>
      <c r="L178" s="1"/>
      <c r="M178" s="42"/>
      <c r="N178" s="42"/>
      <c r="O178" s="42"/>
      <c r="P178" s="42"/>
      <c r="Q178" s="42"/>
      <c r="R178" s="42"/>
      <c r="S178" s="42"/>
      <c r="T178" s="42"/>
      <c r="U178" s="42"/>
      <c r="V178" s="42"/>
      <c r="W178" s="42"/>
      <c r="X178" s="42"/>
      <c r="Y178" s="38">
        <v>121</v>
      </c>
      <c r="Z178" s="38">
        <f t="shared" si="71"/>
        <v>1122.0184543019643</v>
      </c>
      <c r="AA178" s="38">
        <f t="shared" si="76"/>
        <v>1.3260570722490275</v>
      </c>
      <c r="AB178" s="38">
        <f t="shared" si="77"/>
        <v>-89.842843067335394</v>
      </c>
      <c r="AC178" s="38">
        <f t="shared" si="78"/>
        <v>-62.643707598089435</v>
      </c>
      <c r="AD178" s="38">
        <f t="shared" si="79"/>
        <v>92.052922076359707</v>
      </c>
      <c r="AE178" s="38">
        <f t="shared" si="72"/>
        <v>-61.317650525840406</v>
      </c>
      <c r="AF178" s="38">
        <f t="shared" si="73"/>
        <v>2.2100790090243123</v>
      </c>
      <c r="AR178" s="1"/>
      <c r="AS178" s="1"/>
      <c r="AT178" s="1"/>
      <c r="AU178" s="1"/>
      <c r="AV178" s="1"/>
      <c r="AW178" s="1"/>
      <c r="AX178" s="1"/>
      <c r="AY178" s="1"/>
      <c r="AZ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row>
    <row r="179" spans="1:194" ht="16.5" customHeight="1" x14ac:dyDescent="0.2">
      <c r="A179" s="1"/>
      <c r="I179" s="1"/>
      <c r="J179" s="1"/>
      <c r="K179" s="1"/>
      <c r="L179" s="1"/>
      <c r="M179" s="42"/>
      <c r="N179" s="42"/>
      <c r="O179" s="42"/>
      <c r="P179" s="42"/>
      <c r="Q179" s="42"/>
      <c r="R179" s="42"/>
      <c r="S179" s="42"/>
      <c r="T179" s="42"/>
      <c r="U179" s="42"/>
      <c r="V179" s="42"/>
      <c r="W179" s="42"/>
      <c r="X179" s="42"/>
      <c r="Y179" s="38">
        <v>122</v>
      </c>
      <c r="Z179" s="38">
        <f t="shared" si="71"/>
        <v>1258.9254117941678</v>
      </c>
      <c r="AA179" s="38">
        <f t="shared" si="76"/>
        <v>0.32606379241589067</v>
      </c>
      <c r="AB179" s="38">
        <f t="shared" si="77"/>
        <v>-89.859933664083329</v>
      </c>
      <c r="AC179" s="38">
        <f t="shared" si="78"/>
        <v>-63.642385760793786</v>
      </c>
      <c r="AD179" s="38">
        <f t="shared" si="79"/>
        <v>91.829869555197121</v>
      </c>
      <c r="AE179" s="38">
        <f t="shared" si="72"/>
        <v>-63.316321968377892</v>
      </c>
      <c r="AF179" s="38">
        <f t="shared" si="73"/>
        <v>1.9699358911137921</v>
      </c>
      <c r="AR179" s="1"/>
      <c r="AS179" s="1"/>
      <c r="AT179" s="1"/>
      <c r="AU179" s="1"/>
      <c r="AV179" s="1"/>
      <c r="AW179" s="1"/>
      <c r="AX179" s="1"/>
      <c r="AY179" s="1"/>
      <c r="AZ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row>
    <row r="180" spans="1:194" ht="16.5" customHeight="1" x14ac:dyDescent="0.2">
      <c r="A180" s="1"/>
      <c r="I180" s="1"/>
      <c r="J180" s="1"/>
      <c r="K180" s="1"/>
      <c r="L180" s="1"/>
      <c r="M180" s="42"/>
      <c r="N180" s="42"/>
      <c r="O180" s="42"/>
      <c r="P180" s="42"/>
      <c r="Q180" s="42"/>
      <c r="R180" s="42"/>
      <c r="S180" s="42"/>
      <c r="T180" s="42"/>
      <c r="U180" s="42"/>
      <c r="V180" s="42"/>
      <c r="W180" s="42"/>
      <c r="X180" s="42"/>
      <c r="Y180" s="38">
        <v>123</v>
      </c>
      <c r="Z180" s="38">
        <f t="shared" si="71"/>
        <v>1412.5375446227565</v>
      </c>
      <c r="AA180" s="38">
        <f t="shared" si="76"/>
        <v>-0.67393086955843007</v>
      </c>
      <c r="AB180" s="38">
        <f t="shared" si="77"/>
        <v>-89.875165695567603</v>
      </c>
      <c r="AC180" s="38">
        <f t="shared" si="78"/>
        <v>-64.641335498405937</v>
      </c>
      <c r="AD180" s="38">
        <f t="shared" si="79"/>
        <v>91.631015180440102</v>
      </c>
      <c r="AE180" s="38">
        <f t="shared" si="72"/>
        <v>-65.315266367964369</v>
      </c>
      <c r="AF180" s="38">
        <f t="shared" si="73"/>
        <v>1.755849484872499</v>
      </c>
      <c r="AR180" s="1"/>
      <c r="AS180" s="1"/>
      <c r="AT180" s="1"/>
      <c r="AU180" s="1"/>
      <c r="AV180" s="1"/>
      <c r="AW180" s="1"/>
      <c r="AX180" s="1"/>
      <c r="AY180" s="1"/>
      <c r="AZ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row>
    <row r="181" spans="1:194" ht="16.5" customHeight="1" x14ac:dyDescent="0.2">
      <c r="A181" s="1"/>
      <c r="I181" s="1"/>
      <c r="J181" s="1"/>
      <c r="K181" s="1"/>
      <c r="L181" s="1"/>
      <c r="M181" s="42"/>
      <c r="N181" s="42"/>
      <c r="O181" s="42"/>
      <c r="P181" s="42"/>
      <c r="Q181" s="42"/>
      <c r="R181" s="42"/>
      <c r="S181" s="42"/>
      <c r="T181" s="42"/>
      <c r="U181" s="42"/>
      <c r="V181" s="42"/>
      <c r="W181" s="42"/>
      <c r="X181" s="42"/>
      <c r="Y181" s="38">
        <v>124</v>
      </c>
      <c r="Z181" s="38">
        <f t="shared" si="71"/>
        <v>1584.8931924611154</v>
      </c>
      <c r="AA181" s="38">
        <f t="shared" si="76"/>
        <v>-1.673926629409229</v>
      </c>
      <c r="AB181" s="38">
        <f t="shared" si="77"/>
        <v>-89.888741272854901</v>
      </c>
      <c r="AC181" s="38">
        <f t="shared" si="78"/>
        <v>-65.64050106245719</v>
      </c>
      <c r="AD181" s="38">
        <f t="shared" si="79"/>
        <v>91.453744522008691</v>
      </c>
      <c r="AE181" s="38">
        <f t="shared" si="72"/>
        <v>-67.314427691866413</v>
      </c>
      <c r="AF181" s="38">
        <f t="shared" si="73"/>
        <v>1.56500324915379</v>
      </c>
      <c r="AR181" s="1"/>
      <c r="AS181" s="1"/>
      <c r="AT181" s="1"/>
      <c r="AU181" s="1"/>
      <c r="AV181" s="1"/>
      <c r="AW181" s="1"/>
      <c r="AX181" s="1"/>
      <c r="AY181" s="1"/>
      <c r="AZ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row>
    <row r="182" spans="1:194" ht="16.5" customHeight="1" x14ac:dyDescent="0.2">
      <c r="A182" s="1"/>
      <c r="I182" s="1"/>
      <c r="J182" s="1"/>
      <c r="K182" s="1"/>
      <c r="L182" s="1"/>
      <c r="M182" s="42"/>
      <c r="N182" s="42"/>
      <c r="O182" s="42"/>
      <c r="P182" s="42"/>
      <c r="Q182" s="42"/>
      <c r="R182" s="42"/>
      <c r="S182" s="42"/>
      <c r="T182" s="42"/>
      <c r="U182" s="42"/>
      <c r="V182" s="42"/>
      <c r="W182" s="42"/>
      <c r="X182" s="42"/>
      <c r="Y182" s="38">
        <v>125</v>
      </c>
      <c r="Z182" s="38">
        <f t="shared" si="71"/>
        <v>1778.2794100389242</v>
      </c>
      <c r="AA182" s="38">
        <f t="shared" si="76"/>
        <v>-2.6739232613360469</v>
      </c>
      <c r="AB182" s="38">
        <f t="shared" si="77"/>
        <v>-89.900840529422723</v>
      </c>
      <c r="AC182" s="38">
        <f t="shared" si="78"/>
        <v>-66.639838130988068</v>
      </c>
      <c r="AD182" s="38">
        <f t="shared" si="79"/>
        <v>91.295722482749269</v>
      </c>
      <c r="AE182" s="38">
        <f t="shared" si="72"/>
        <v>-69.31376139232411</v>
      </c>
      <c r="AF182" s="38">
        <f t="shared" si="73"/>
        <v>1.3948819533265464</v>
      </c>
      <c r="AR182" s="1"/>
      <c r="AS182" s="1"/>
      <c r="AT182" s="1"/>
      <c r="AU182" s="1"/>
      <c r="AV182" s="1"/>
      <c r="AW182" s="1"/>
      <c r="AX182" s="1"/>
      <c r="AY182" s="1"/>
      <c r="AZ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row>
    <row r="183" spans="1:194" ht="16.5" customHeight="1" x14ac:dyDescent="0.2">
      <c r="A183" s="1"/>
      <c r="I183" s="1"/>
      <c r="J183" s="1"/>
      <c r="K183" s="1"/>
      <c r="L183" s="1"/>
      <c r="M183" s="42"/>
      <c r="N183" s="42"/>
      <c r="O183" s="42"/>
      <c r="P183" s="42"/>
      <c r="Q183" s="42"/>
      <c r="R183" s="42"/>
      <c r="S183" s="42"/>
      <c r="T183" s="42"/>
      <c r="U183" s="42"/>
      <c r="V183" s="42"/>
      <c r="W183" s="42"/>
      <c r="X183" s="42"/>
      <c r="Y183" s="38">
        <v>126</v>
      </c>
      <c r="Z183" s="38">
        <f t="shared" si="71"/>
        <v>1995.26231496888</v>
      </c>
      <c r="AA183" s="38">
        <f t="shared" si="76"/>
        <v>-3.673920585978558</v>
      </c>
      <c r="AB183" s="38">
        <f t="shared" si="77"/>
        <v>-89.911624010675922</v>
      </c>
      <c r="AC183" s="38">
        <f t="shared" si="78"/>
        <v>-67.639311472947156</v>
      </c>
      <c r="AD183" s="38">
        <f t="shared" si="79"/>
        <v>91.154864372889577</v>
      </c>
      <c r="AE183" s="38">
        <f t="shared" si="72"/>
        <v>-71.31323205892572</v>
      </c>
      <c r="AF183" s="38">
        <f t="shared" si="73"/>
        <v>1.2432403622136547</v>
      </c>
      <c r="AR183" s="1"/>
      <c r="AS183" s="1"/>
      <c r="AT183" s="1"/>
      <c r="AU183" s="1"/>
      <c r="AV183" s="1"/>
      <c r="AW183" s="1"/>
      <c r="AX183" s="1"/>
      <c r="AY183" s="1"/>
      <c r="AZ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row>
    <row r="184" spans="1:194" ht="16.5" customHeight="1" x14ac:dyDescent="0.2">
      <c r="A184" s="1"/>
      <c r="I184" s="1"/>
      <c r="J184" s="1"/>
      <c r="K184" s="1"/>
      <c r="L184" s="1"/>
      <c r="M184" s="42"/>
      <c r="N184" s="42"/>
      <c r="O184" s="42"/>
      <c r="P184" s="42"/>
      <c r="Q184" s="42"/>
      <c r="R184" s="42"/>
      <c r="S184" s="42"/>
      <c r="T184" s="42"/>
      <c r="U184" s="42"/>
      <c r="V184" s="42"/>
      <c r="W184" s="42"/>
      <c r="X184" s="42"/>
      <c r="Y184" s="38">
        <v>127</v>
      </c>
      <c r="Z184" s="38">
        <f t="shared" si="71"/>
        <v>2238.721138568339</v>
      </c>
      <c r="AA184" s="38">
        <f t="shared" si="76"/>
        <v>-4.6739184608653916</v>
      </c>
      <c r="AB184" s="38">
        <f t="shared" si="77"/>
        <v>-89.921234803759148</v>
      </c>
      <c r="AC184" s="38">
        <f t="shared" si="78"/>
        <v>-68.638893087613965</v>
      </c>
      <c r="AD184" s="38">
        <f t="shared" si="79"/>
        <v>91.029309707872017</v>
      </c>
      <c r="AE184" s="38">
        <f t="shared" si="72"/>
        <v>-73.31281154847936</v>
      </c>
      <c r="AF184" s="38">
        <f t="shared" si="73"/>
        <v>1.1080749041128684</v>
      </c>
      <c r="AR184" s="1"/>
      <c r="AS184" s="1"/>
      <c r="AT184" s="1"/>
      <c r="AU184" s="1"/>
      <c r="AV184" s="1"/>
      <c r="AW184" s="1"/>
      <c r="AX184" s="1"/>
      <c r="AY184" s="1"/>
      <c r="AZ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row>
    <row r="185" spans="1:194" ht="16.5" customHeight="1" x14ac:dyDescent="0.2">
      <c r="A185" s="1"/>
      <c r="I185" s="1"/>
      <c r="J185" s="1"/>
      <c r="K185" s="1"/>
      <c r="L185" s="1"/>
      <c r="M185" s="42"/>
      <c r="N185" s="42"/>
      <c r="O185" s="42"/>
      <c r="P185" s="42"/>
      <c r="Q185" s="42"/>
      <c r="R185" s="42"/>
      <c r="S185" s="42"/>
      <c r="T185" s="42"/>
      <c r="U185" s="42"/>
      <c r="V185" s="42"/>
      <c r="W185" s="42"/>
      <c r="X185" s="42"/>
      <c r="Y185" s="38">
        <v>128</v>
      </c>
      <c r="Z185" s="38">
        <f t="shared" si="71"/>
        <v>2511.8864315095871</v>
      </c>
      <c r="AA185" s="38">
        <f t="shared" si="76"/>
        <v>-5.673916772827293</v>
      </c>
      <c r="AB185" s="38">
        <f t="shared" si="77"/>
        <v>-89.929800435862873</v>
      </c>
      <c r="AC185" s="38">
        <f t="shared" si="78"/>
        <v>-69.638560723312906</v>
      </c>
      <c r="AD185" s="38">
        <f t="shared" si="79"/>
        <v>90.917398555971261</v>
      </c>
      <c r="AE185" s="38">
        <f t="shared" si="72"/>
        <v>-75.312477496140204</v>
      </c>
      <c r="AF185" s="38">
        <f t="shared" si="73"/>
        <v>0.98759812010838743</v>
      </c>
      <c r="AR185" s="1"/>
      <c r="AS185" s="1"/>
      <c r="AT185" s="1"/>
      <c r="AU185" s="1"/>
      <c r="AV185" s="1"/>
      <c r="AW185" s="1"/>
      <c r="AX185" s="1"/>
      <c r="AY185" s="1"/>
      <c r="AZ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row>
    <row r="186" spans="1:194" ht="16.5" customHeight="1" x14ac:dyDescent="0.2">
      <c r="A186" s="1"/>
      <c r="I186" s="1"/>
      <c r="J186" s="1"/>
      <c r="K186" s="1"/>
      <c r="L186" s="1"/>
      <c r="M186" s="42"/>
      <c r="N186" s="42"/>
      <c r="O186" s="42"/>
      <c r="P186" s="42"/>
      <c r="Q186" s="42"/>
      <c r="R186" s="42"/>
      <c r="S186" s="42"/>
      <c r="T186" s="42"/>
      <c r="U186" s="42"/>
      <c r="V186" s="42"/>
      <c r="W186" s="42"/>
      <c r="X186" s="42"/>
      <c r="Y186" s="38">
        <v>129</v>
      </c>
      <c r="Z186" s="38">
        <f t="shared" si="71"/>
        <v>2818.3829312644607</v>
      </c>
      <c r="AA186" s="38">
        <f t="shared" ref="AA186:AA197" si="92">20*LOG10(G_o/SQRT(1+(Z186/f_p)^2))</f>
        <v>-6.6739154319704763</v>
      </c>
      <c r="AB186" s="38">
        <f t="shared" ref="AB186:AB197" si="93">180/PI()*-(ATAN(Z186/f_p))</f>
        <v>-89.937434566167298</v>
      </c>
      <c r="AC186" s="38">
        <f t="shared" ref="AC186:AC197" si="94">-20*LOG10(Z186/f_o)+20*LOG10(SQRT(1+(Z186/f_z)^2))-20*LOG10(SQRT(1+(Z186/f_p2)^2))</f>
        <v>-70.638296698652425</v>
      </c>
      <c r="AD186" s="38">
        <f t="shared" ref="AD186:AD197" si="95">-90+(180/PI())*ATAN(Z186/f_z)-(180/PI())*ATAN(Z186/f_p2)+180</f>
        <v>90.81765024550991</v>
      </c>
      <c r="AE186" s="38">
        <f t="shared" si="72"/>
        <v>-77.312212130622896</v>
      </c>
      <c r="AF186" s="38">
        <f t="shared" si="73"/>
        <v>0.88021567934261213</v>
      </c>
      <c r="AR186" s="1"/>
      <c r="AS186" s="1"/>
      <c r="AT186" s="1"/>
      <c r="AU186" s="1"/>
      <c r="AV186" s="1"/>
      <c r="AW186" s="1"/>
      <c r="AX186" s="1"/>
      <c r="AY186" s="1"/>
      <c r="AZ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row>
    <row r="187" spans="1:194" ht="16.5" customHeight="1" x14ac:dyDescent="0.2">
      <c r="A187" s="1"/>
      <c r="I187" s="1"/>
      <c r="J187" s="1"/>
      <c r="K187" s="1"/>
      <c r="L187" s="1"/>
      <c r="M187" s="42"/>
      <c r="N187" s="42"/>
      <c r="O187" s="42"/>
      <c r="P187" s="42"/>
      <c r="Q187" s="42"/>
      <c r="R187" s="42"/>
      <c r="S187" s="42"/>
      <c r="T187" s="42"/>
      <c r="U187" s="42"/>
      <c r="V187" s="42"/>
      <c r="W187" s="42"/>
      <c r="X187" s="42"/>
      <c r="Y187" s="38">
        <v>130</v>
      </c>
      <c r="Z187" s="38">
        <f t="shared" ref="Z187:Z197" si="96">10^-3*10^(Y187/20)</f>
        <v>3162.2776601683854</v>
      </c>
      <c r="AA187" s="38">
        <f t="shared" si="92"/>
        <v>-7.6739143668897505</v>
      </c>
      <c r="AB187" s="38">
        <f t="shared" si="93"/>
        <v>-89.944238493843486</v>
      </c>
      <c r="AC187" s="38">
        <f t="shared" si="94"/>
        <v>-71.638086964854438</v>
      </c>
      <c r="AD187" s="38">
        <f t="shared" si="95"/>
        <v>90.728744236914807</v>
      </c>
      <c r="AE187" s="38">
        <f t="shared" ref="AE187:AE197" si="97">AA187+AC187</f>
        <v>-79.312001331744185</v>
      </c>
      <c r="AF187" s="38">
        <f t="shared" ref="AF187:AF197" si="98">AB187+AD187</f>
        <v>0.78450574307132115</v>
      </c>
      <c r="AR187" s="1"/>
      <c r="AS187" s="1"/>
      <c r="AT187" s="1"/>
      <c r="AU187" s="1"/>
      <c r="AV187" s="1"/>
      <c r="AW187" s="1"/>
      <c r="AX187" s="1"/>
      <c r="AY187" s="1"/>
      <c r="AZ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row>
    <row r="188" spans="1:194" ht="16.5" customHeight="1" x14ac:dyDescent="0.2">
      <c r="A188" s="1"/>
      <c r="I188" s="1"/>
      <c r="J188" s="1"/>
      <c r="K188" s="1"/>
      <c r="L188" s="1"/>
      <c r="M188" s="42"/>
      <c r="N188" s="42"/>
      <c r="O188" s="42"/>
      <c r="P188" s="42"/>
      <c r="Q188" s="42"/>
      <c r="R188" s="42"/>
      <c r="S188" s="42"/>
      <c r="T188" s="42"/>
      <c r="U188" s="42"/>
      <c r="V188" s="42"/>
      <c r="W188" s="42"/>
      <c r="X188" s="42"/>
      <c r="Y188" s="38">
        <v>131</v>
      </c>
      <c r="Z188" s="38">
        <f t="shared" si="96"/>
        <v>3548.1338923357594</v>
      </c>
      <c r="AA188" s="38">
        <f t="shared" si="92"/>
        <v>-8.6739135208658702</v>
      </c>
      <c r="AB188" s="38">
        <f t="shared" si="93"/>
        <v>-89.950302502099163</v>
      </c>
      <c r="AC188" s="38">
        <f t="shared" si="94"/>
        <v>-72.637920360085189</v>
      </c>
      <c r="AD188" s="38">
        <f t="shared" si="95"/>
        <v>90.649502968077044</v>
      </c>
      <c r="AE188" s="38">
        <f t="shared" si="97"/>
        <v>-81.311833880951056</v>
      </c>
      <c r="AF188" s="38">
        <f t="shared" si="98"/>
        <v>0.69920046597788144</v>
      </c>
      <c r="AR188" s="1"/>
      <c r="AS188" s="1"/>
      <c r="AT188" s="1"/>
      <c r="AU188" s="1"/>
      <c r="AV188" s="1"/>
      <c r="AW188" s="1"/>
      <c r="AX188" s="1"/>
      <c r="AY188" s="1"/>
      <c r="AZ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row>
    <row r="189" spans="1:194" ht="16.5" customHeight="1" x14ac:dyDescent="0.2">
      <c r="A189" s="1"/>
      <c r="I189" s="1"/>
      <c r="J189" s="1"/>
      <c r="K189" s="1"/>
      <c r="L189" s="1"/>
      <c r="M189" s="42"/>
      <c r="N189" s="42"/>
      <c r="O189" s="42"/>
      <c r="P189" s="42"/>
      <c r="Q189" s="42"/>
      <c r="R189" s="42"/>
      <c r="S189" s="42"/>
      <c r="T189" s="42"/>
      <c r="U189" s="42"/>
      <c r="V189" s="42"/>
      <c r="W189" s="42"/>
      <c r="X189" s="42"/>
      <c r="Y189" s="38">
        <v>132</v>
      </c>
      <c r="Z189" s="38">
        <f t="shared" si="96"/>
        <v>3981.071705534976</v>
      </c>
      <c r="AA189" s="38">
        <f t="shared" si="92"/>
        <v>-9.6739128488451005</v>
      </c>
      <c r="AB189" s="38">
        <f t="shared" si="93"/>
        <v>-89.955707056088372</v>
      </c>
      <c r="AC189" s="38">
        <f t="shared" si="94"/>
        <v>-73.637788016611765</v>
      </c>
      <c r="AD189" s="38">
        <f t="shared" si="95"/>
        <v>90.578876489549543</v>
      </c>
      <c r="AE189" s="38">
        <f t="shared" si="97"/>
        <v>-83.311700865456871</v>
      </c>
      <c r="AF189" s="38">
        <f t="shared" si="98"/>
        <v>0.62316943346117171</v>
      </c>
      <c r="AR189" s="1"/>
      <c r="AS189" s="1"/>
      <c r="AT189" s="1"/>
      <c r="AU189" s="1"/>
      <c r="AV189" s="1"/>
      <c r="AW189" s="1"/>
      <c r="AX189" s="1"/>
      <c r="AY189" s="1"/>
      <c r="AZ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row>
    <row r="190" spans="1:194" ht="16.5" customHeight="1" x14ac:dyDescent="0.2">
      <c r="A190" s="1"/>
      <c r="I190" s="1"/>
      <c r="J190" s="1"/>
      <c r="K190" s="1"/>
      <c r="L190" s="1"/>
      <c r="M190" s="42"/>
      <c r="N190" s="42"/>
      <c r="O190" s="42"/>
      <c r="P190" s="42"/>
      <c r="Q190" s="42"/>
      <c r="R190" s="42"/>
      <c r="S190" s="42"/>
      <c r="T190" s="42"/>
      <c r="U190" s="42"/>
      <c r="V190" s="42"/>
      <c r="W190" s="42"/>
      <c r="X190" s="42"/>
      <c r="Y190" s="38">
        <v>133</v>
      </c>
      <c r="Z190" s="38">
        <f t="shared" si="96"/>
        <v>4466.8359215096416</v>
      </c>
      <c r="AA190" s="38">
        <f t="shared" si="92"/>
        <v>-10.673912315039967</v>
      </c>
      <c r="AB190" s="38">
        <f t="shared" si="93"/>
        <v>-89.960523870568679</v>
      </c>
      <c r="AC190" s="38">
        <f t="shared" si="94"/>
        <v>-74.637682889550888</v>
      </c>
      <c r="AD190" s="38">
        <f t="shared" si="95"/>
        <v>90.515928717008904</v>
      </c>
      <c r="AE190" s="38">
        <f t="shared" si="97"/>
        <v>-85.311595204590859</v>
      </c>
      <c r="AF190" s="38">
        <f t="shared" si="98"/>
        <v>0.5554048464402257</v>
      </c>
      <c r="AR190" s="1"/>
      <c r="AS190" s="1"/>
      <c r="AT190" s="1"/>
      <c r="AU190" s="1"/>
      <c r="AV190" s="1"/>
      <c r="AW190" s="1"/>
      <c r="AX190" s="1"/>
      <c r="AY190" s="1"/>
      <c r="AZ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row>
    <row r="191" spans="1:194" ht="16.5" customHeight="1" x14ac:dyDescent="0.2">
      <c r="A191" s="1"/>
      <c r="I191" s="1"/>
      <c r="J191" s="1"/>
      <c r="K191" s="1"/>
      <c r="L191" s="1"/>
      <c r="M191" s="42"/>
      <c r="N191" s="42"/>
      <c r="O191" s="42"/>
      <c r="P191" s="42"/>
      <c r="Q191" s="42"/>
      <c r="R191" s="42"/>
      <c r="S191" s="42"/>
      <c r="T191" s="42"/>
      <c r="U191" s="42"/>
      <c r="V191" s="42"/>
      <c r="W191" s="42"/>
      <c r="X191" s="42"/>
      <c r="Y191" s="38">
        <v>134</v>
      </c>
      <c r="Z191" s="38">
        <f t="shared" si="96"/>
        <v>5011.8723362727314</v>
      </c>
      <c r="AA191" s="38">
        <f t="shared" si="92"/>
        <v>-11.673911891023415</v>
      </c>
      <c r="AB191" s="38">
        <f t="shared" si="93"/>
        <v>-89.964816861465422</v>
      </c>
      <c r="AC191" s="38">
        <f t="shared" si="94"/>
        <v>-75.637599382326215</v>
      </c>
      <c r="AD191" s="38">
        <f t="shared" si="95"/>
        <v>90.459825140748819</v>
      </c>
      <c r="AE191" s="38">
        <f t="shared" si="97"/>
        <v>-87.311511273349623</v>
      </c>
      <c r="AF191" s="38">
        <f t="shared" si="98"/>
        <v>0.49500827928339675</v>
      </c>
      <c r="AR191" s="1"/>
      <c r="AS191" s="1"/>
      <c r="AT191" s="1"/>
      <c r="AU191" s="1"/>
      <c r="AV191" s="1"/>
      <c r="AW191" s="1"/>
      <c r="AX191" s="1"/>
      <c r="AY191" s="1"/>
      <c r="AZ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row>
    <row r="192" spans="1:194" ht="16.5" customHeight="1" x14ac:dyDescent="0.2">
      <c r="A192" s="1"/>
      <c r="I192" s="1"/>
      <c r="J192" s="1"/>
      <c r="K192" s="1"/>
      <c r="L192" s="1"/>
      <c r="M192" s="42"/>
      <c r="N192" s="42"/>
      <c r="O192" s="42"/>
      <c r="P192" s="42"/>
      <c r="Q192" s="42"/>
      <c r="R192" s="42"/>
      <c r="S192" s="42"/>
      <c r="T192" s="42"/>
      <c r="U192" s="42"/>
      <c r="V192" s="42"/>
      <c r="W192" s="42"/>
      <c r="X192" s="42"/>
      <c r="Y192" s="38">
        <v>135</v>
      </c>
      <c r="Z192" s="38">
        <f t="shared" si="96"/>
        <v>5623.4132519034974</v>
      </c>
      <c r="AA192" s="38">
        <f t="shared" si="92"/>
        <v>-12.673911554215069</v>
      </c>
      <c r="AB192" s="38">
        <f t="shared" si="93"/>
        <v>-89.968642993963954</v>
      </c>
      <c r="AC192" s="38">
        <f t="shared" si="94"/>
        <v>-76.637533049023943</v>
      </c>
      <c r="AD192" s="38">
        <f t="shared" si="95"/>
        <v>90.409821844838788</v>
      </c>
      <c r="AE192" s="38">
        <f t="shared" si="97"/>
        <v>-89.311444603239011</v>
      </c>
      <c r="AF192" s="38">
        <f t="shared" si="98"/>
        <v>0.44117885087483444</v>
      </c>
      <c r="AR192" s="1"/>
      <c r="AS192" s="1"/>
      <c r="AT192" s="1"/>
      <c r="AU192" s="1"/>
      <c r="AV192" s="1"/>
      <c r="AW192" s="1"/>
      <c r="AX192" s="1"/>
      <c r="AY192" s="1"/>
      <c r="AZ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row>
    <row r="193" spans="1:194" ht="16.5" customHeight="1" x14ac:dyDescent="0.2">
      <c r="A193" s="1"/>
      <c r="I193" s="1"/>
      <c r="J193" s="1"/>
      <c r="K193" s="1"/>
      <c r="L193" s="1"/>
      <c r="M193" s="42"/>
      <c r="N193" s="42"/>
      <c r="O193" s="42"/>
      <c r="P193" s="42"/>
      <c r="Q193" s="42"/>
      <c r="R193" s="42"/>
      <c r="S193" s="42"/>
      <c r="T193" s="42"/>
      <c r="U193" s="42"/>
      <c r="V193" s="42"/>
      <c r="W193" s="42"/>
      <c r="X193" s="42"/>
      <c r="Y193" s="38">
        <v>136</v>
      </c>
      <c r="Z193" s="38">
        <f t="shared" si="96"/>
        <v>6309.5734448019375</v>
      </c>
      <c r="AA193" s="38">
        <f t="shared" si="92"/>
        <v>-13.673911286678671</v>
      </c>
      <c r="AB193" s="38">
        <f t="shared" si="93"/>
        <v>-89.972053038379457</v>
      </c>
      <c r="AC193" s="38">
        <f t="shared" si="94"/>
        <v>-77.637480357879653</v>
      </c>
      <c r="AD193" s="38">
        <f t="shared" si="95"/>
        <v>90.365255701376768</v>
      </c>
      <c r="AE193" s="38">
        <f t="shared" si="97"/>
        <v>-91.311391644558327</v>
      </c>
      <c r="AF193" s="38">
        <f t="shared" si="98"/>
        <v>0.39320266299731088</v>
      </c>
      <c r="AR193" s="1"/>
      <c r="AS193" s="1"/>
      <c r="AT193" s="1"/>
      <c r="AU193" s="1"/>
      <c r="AV193" s="1"/>
      <c r="AW193" s="1"/>
      <c r="AX193" s="1"/>
      <c r="AY193" s="1"/>
      <c r="AZ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row>
    <row r="194" spans="1:194" ht="16.5" customHeight="1" x14ac:dyDescent="0.2">
      <c r="A194" s="1"/>
      <c r="I194" s="1"/>
      <c r="J194" s="1"/>
      <c r="K194" s="1"/>
      <c r="L194" s="1"/>
      <c r="M194" s="42"/>
      <c r="N194" s="42"/>
      <c r="O194" s="42"/>
      <c r="P194" s="42"/>
      <c r="Q194" s="42"/>
      <c r="R194" s="42"/>
      <c r="S194" s="42"/>
      <c r="T194" s="42"/>
      <c r="U194" s="42"/>
      <c r="V194" s="42"/>
      <c r="W194" s="42"/>
      <c r="X194" s="42"/>
      <c r="Y194" s="38">
        <v>137</v>
      </c>
      <c r="Z194" s="38">
        <f t="shared" si="96"/>
        <v>7079.4578438413819</v>
      </c>
      <c r="AA194" s="38">
        <f t="shared" si="92"/>
        <v>-14.673911074166943</v>
      </c>
      <c r="AB194" s="38">
        <f t="shared" si="93"/>
        <v>-89.975092243831426</v>
      </c>
      <c r="AC194" s="38">
        <f t="shared" si="94"/>
        <v>-78.63743850335581</v>
      </c>
      <c r="AD194" s="38">
        <f t="shared" si="95"/>
        <v>90.325535617608068</v>
      </c>
      <c r="AE194" s="38">
        <f t="shared" si="97"/>
        <v>-93.311349577522748</v>
      </c>
      <c r="AF194" s="38">
        <f t="shared" si="98"/>
        <v>0.35044337377664192</v>
      </c>
      <c r="AR194" s="1"/>
      <c r="AS194" s="1"/>
      <c r="AT194" s="1"/>
      <c r="AU194" s="1"/>
      <c r="AV194" s="1"/>
      <c r="AW194" s="1"/>
      <c r="AX194" s="1"/>
      <c r="AY194" s="1"/>
      <c r="AZ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row>
    <row r="195" spans="1:194" ht="16.5" customHeight="1" x14ac:dyDescent="0.2">
      <c r="A195" s="1"/>
      <c r="I195" s="1"/>
      <c r="J195" s="1"/>
      <c r="K195" s="1"/>
      <c r="L195" s="1"/>
      <c r="M195" s="42"/>
      <c r="N195" s="42"/>
      <c r="O195" s="42"/>
      <c r="P195" s="42"/>
      <c r="Q195" s="42"/>
      <c r="R195" s="42"/>
      <c r="S195" s="42"/>
      <c r="T195" s="42"/>
      <c r="U195" s="42"/>
      <c r="V195" s="42"/>
      <c r="W195" s="42"/>
      <c r="X195" s="42"/>
      <c r="Y195" s="38">
        <v>138</v>
      </c>
      <c r="Z195" s="38">
        <f t="shared" si="96"/>
        <v>7943.2823472428281</v>
      </c>
      <c r="AA195" s="38">
        <f t="shared" si="92"/>
        <v>-15.673910905362883</v>
      </c>
      <c r="AB195" s="38">
        <f t="shared" si="93"/>
        <v>-89.977800938660337</v>
      </c>
      <c r="AC195" s="38">
        <f t="shared" si="94"/>
        <v>-79.637405256835436</v>
      </c>
      <c r="AD195" s="38">
        <f t="shared" si="95"/>
        <v>90.290134725353084</v>
      </c>
      <c r="AE195" s="38">
        <f t="shared" si="97"/>
        <v>-95.311316162198324</v>
      </c>
      <c r="AF195" s="38">
        <f t="shared" si="98"/>
        <v>0.31233378669274714</v>
      </c>
      <c r="AR195" s="1"/>
      <c r="AS195" s="1"/>
      <c r="AT195" s="1"/>
      <c r="AU195" s="1"/>
      <c r="AV195" s="1"/>
      <c r="AW195" s="1"/>
      <c r="AX195" s="1"/>
      <c r="AY195" s="1"/>
      <c r="AZ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row>
    <row r="196" spans="1:194" ht="16.5" customHeight="1" x14ac:dyDescent="0.2">
      <c r="A196" s="1"/>
      <c r="I196" s="1"/>
      <c r="J196" s="1"/>
      <c r="K196" s="1"/>
      <c r="L196" s="1"/>
      <c r="M196" s="42"/>
      <c r="N196" s="42"/>
      <c r="O196" s="42"/>
      <c r="P196" s="42"/>
      <c r="Q196" s="42"/>
      <c r="R196" s="42"/>
      <c r="S196" s="42"/>
      <c r="T196" s="42"/>
      <c r="U196" s="42"/>
      <c r="V196" s="42"/>
      <c r="W196" s="42"/>
      <c r="X196" s="42"/>
      <c r="Y196" s="38">
        <v>139</v>
      </c>
      <c r="Z196" s="38">
        <f t="shared" si="96"/>
        <v>8912.509381337466</v>
      </c>
      <c r="AA196" s="38">
        <f t="shared" si="92"/>
        <v>-16.673910771277036</v>
      </c>
      <c r="AB196" s="38">
        <f t="shared" si="93"/>
        <v>-89.980215065551732</v>
      </c>
      <c r="AC196" s="38">
        <f t="shared" si="94"/>
        <v>-80.637378848002356</v>
      </c>
      <c r="AD196" s="38">
        <f t="shared" si="95"/>
        <v>90.258583413058275</v>
      </c>
      <c r="AE196" s="38">
        <f t="shared" si="97"/>
        <v>-97.311289619279393</v>
      </c>
      <c r="AF196" s="38">
        <f t="shared" si="98"/>
        <v>0.27836834750654305</v>
      </c>
      <c r="AR196" s="1"/>
      <c r="AS196" s="1"/>
      <c r="AT196" s="1"/>
      <c r="AU196" s="1"/>
      <c r="AV196" s="1"/>
      <c r="AW196" s="1"/>
      <c r="AX196" s="1"/>
      <c r="AY196" s="1"/>
      <c r="AZ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row>
    <row r="197" spans="1:194" ht="16.5" customHeight="1" x14ac:dyDescent="0.2">
      <c r="A197" s="1"/>
      <c r="I197" s="1"/>
      <c r="J197" s="1"/>
      <c r="K197" s="1"/>
      <c r="L197" s="1"/>
      <c r="M197" s="42"/>
      <c r="N197" s="42"/>
      <c r="O197" s="42"/>
      <c r="P197" s="42"/>
      <c r="Q197" s="42"/>
      <c r="R197" s="42"/>
      <c r="S197" s="42"/>
      <c r="T197" s="42"/>
      <c r="U197" s="42"/>
      <c r="V197" s="42"/>
      <c r="W197" s="42"/>
      <c r="X197" s="42"/>
      <c r="Y197" s="38">
        <v>140</v>
      </c>
      <c r="Z197" s="38">
        <f t="shared" si="96"/>
        <v>10000</v>
      </c>
      <c r="AA197" s="38">
        <f t="shared" si="92"/>
        <v>-17.673910664768851</v>
      </c>
      <c r="AB197" s="38">
        <f t="shared" si="93"/>
        <v>-89.98236665846791</v>
      </c>
      <c r="AC197" s="38">
        <f t="shared" si="94"/>
        <v>-81.637357870604959</v>
      </c>
      <c r="AD197" s="38">
        <f t="shared" si="95"/>
        <v>90.23046311081265</v>
      </c>
      <c r="AE197" s="38">
        <f t="shared" si="97"/>
        <v>-99.311268535373813</v>
      </c>
      <c r="AF197" s="38">
        <f t="shared" si="98"/>
        <v>0.24809645234473976</v>
      </c>
      <c r="AR197" s="1"/>
      <c r="AS197" s="1"/>
      <c r="AT197" s="1"/>
      <c r="AU197" s="1"/>
      <c r="AV197" s="1"/>
      <c r="AW197" s="1"/>
      <c r="AX197" s="1"/>
      <c r="AY197" s="1"/>
      <c r="AZ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row>
    <row r="198" spans="1:194" ht="16.5" customHeight="1" x14ac:dyDescent="0.2">
      <c r="A198" s="1"/>
      <c r="I198" s="1"/>
      <c r="J198" s="1"/>
      <c r="K198" s="1"/>
      <c r="L198" s="1"/>
      <c r="M198" s="42"/>
      <c r="N198" s="42"/>
      <c r="O198" s="42"/>
      <c r="P198" s="42"/>
      <c r="Q198" s="42"/>
      <c r="R198" s="42"/>
      <c r="S198" s="42"/>
      <c r="T198" s="42"/>
      <c r="U198" s="42"/>
      <c r="V198" s="42"/>
      <c r="W198" s="42"/>
      <c r="X198" s="42"/>
      <c r="AR198" s="1"/>
      <c r="AS198" s="1"/>
      <c r="AT198" s="1"/>
      <c r="AU198" s="1"/>
      <c r="AV198" s="1"/>
      <c r="AW198" s="1"/>
      <c r="AX198" s="1"/>
      <c r="AY198" s="1"/>
      <c r="AZ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row>
    <row r="199" spans="1:194" ht="16.5" customHeight="1" x14ac:dyDescent="0.2">
      <c r="A199" s="1"/>
      <c r="I199" s="1"/>
      <c r="J199" s="1"/>
      <c r="K199" s="1"/>
      <c r="L199" s="1"/>
      <c r="M199" s="42"/>
      <c r="N199" s="42"/>
      <c r="O199" s="42"/>
      <c r="P199" s="42"/>
      <c r="Q199" s="42"/>
      <c r="R199" s="42"/>
      <c r="S199" s="42"/>
      <c r="T199" s="42"/>
      <c r="U199" s="42"/>
      <c r="V199" s="42"/>
      <c r="W199" s="42"/>
      <c r="X199" s="42"/>
      <c r="AR199" s="1"/>
      <c r="AS199" s="1"/>
      <c r="AT199" s="1"/>
      <c r="AU199" s="1"/>
      <c r="AV199" s="1"/>
      <c r="AW199" s="1"/>
      <c r="AX199" s="1"/>
      <c r="AY199" s="1"/>
      <c r="AZ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row>
    <row r="200" spans="1:194" ht="16.5" customHeight="1" x14ac:dyDescent="0.2">
      <c r="A200" s="1"/>
      <c r="I200" s="1"/>
      <c r="J200" s="1"/>
      <c r="K200" s="1"/>
      <c r="L200" s="1"/>
      <c r="M200" s="42"/>
      <c r="N200" s="42"/>
      <c r="O200" s="42"/>
      <c r="P200" s="42"/>
      <c r="Q200" s="42"/>
      <c r="R200" s="42"/>
      <c r="S200" s="42"/>
      <c r="T200" s="42"/>
      <c r="U200" s="42"/>
      <c r="V200" s="42"/>
      <c r="W200" s="42"/>
      <c r="X200" s="42"/>
      <c r="AR200" s="1"/>
      <c r="AS200" s="1"/>
      <c r="AT200" s="1"/>
      <c r="AU200" s="1"/>
      <c r="AV200" s="1"/>
      <c r="AW200" s="1"/>
      <c r="AX200" s="1"/>
      <c r="AY200" s="1"/>
      <c r="AZ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row>
    <row r="201" spans="1:194" ht="16.5" customHeight="1" x14ac:dyDescent="0.2">
      <c r="A201" s="1"/>
      <c r="I201" s="1"/>
      <c r="J201" s="1"/>
      <c r="K201" s="1"/>
      <c r="L201" s="1"/>
      <c r="M201" s="42"/>
      <c r="N201" s="42"/>
      <c r="O201" s="42"/>
      <c r="P201" s="42"/>
      <c r="Q201" s="42"/>
      <c r="R201" s="42"/>
      <c r="S201" s="42"/>
      <c r="T201" s="42"/>
      <c r="U201" s="42"/>
      <c r="V201" s="42"/>
      <c r="W201" s="42"/>
      <c r="X201" s="42"/>
      <c r="AR201" s="1"/>
      <c r="AS201" s="1"/>
      <c r="AT201" s="1"/>
      <c r="AU201" s="1"/>
      <c r="AV201" s="1"/>
      <c r="AW201" s="1"/>
      <c r="AX201" s="1"/>
      <c r="AY201" s="1"/>
      <c r="AZ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row>
    <row r="202" spans="1:194" ht="16.5" customHeight="1" x14ac:dyDescent="0.2">
      <c r="A202" s="1"/>
      <c r="I202" s="1"/>
      <c r="J202" s="1"/>
      <c r="K202" s="1"/>
      <c r="L202" s="1"/>
      <c r="M202" s="42"/>
      <c r="N202" s="42"/>
      <c r="O202" s="42"/>
      <c r="P202" s="42"/>
      <c r="Q202" s="42"/>
      <c r="R202" s="42"/>
      <c r="S202" s="42"/>
      <c r="T202" s="42"/>
      <c r="U202" s="42"/>
      <c r="V202" s="42"/>
      <c r="W202" s="42"/>
      <c r="X202" s="42"/>
      <c r="AR202" s="1"/>
      <c r="AS202" s="1"/>
      <c r="AT202" s="1"/>
      <c r="AU202" s="1"/>
      <c r="AV202" s="1"/>
      <c r="AW202" s="1"/>
      <c r="AX202" s="1"/>
      <c r="AY202" s="1"/>
      <c r="AZ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row>
    <row r="203" spans="1:194" ht="16.5" customHeight="1" x14ac:dyDescent="0.2">
      <c r="A203" s="1"/>
      <c r="I203" s="1"/>
      <c r="J203" s="1"/>
      <c r="K203" s="1"/>
      <c r="L203" s="1"/>
      <c r="M203" s="42"/>
      <c r="N203" s="42"/>
      <c r="O203" s="42"/>
      <c r="P203" s="42"/>
      <c r="Q203" s="42"/>
      <c r="R203" s="42"/>
      <c r="S203" s="42"/>
      <c r="T203" s="42"/>
      <c r="U203" s="42"/>
      <c r="V203" s="42"/>
      <c r="W203" s="42"/>
      <c r="X203" s="42"/>
    </row>
    <row r="204" spans="1:194" ht="16.5" customHeight="1" x14ac:dyDescent="0.2">
      <c r="A204" s="37"/>
      <c r="I204" s="1"/>
      <c r="J204" s="1"/>
      <c r="K204" s="1"/>
      <c r="L204" s="37"/>
      <c r="M204" s="42"/>
      <c r="N204" s="42"/>
      <c r="O204" s="42"/>
      <c r="P204" s="42"/>
      <c r="Q204" s="42"/>
      <c r="R204" s="42"/>
      <c r="S204" s="42"/>
      <c r="T204" s="42"/>
      <c r="U204" s="42"/>
      <c r="V204" s="42"/>
      <c r="W204" s="42"/>
      <c r="X204" s="42"/>
    </row>
    <row r="205" spans="1:194" ht="16.5" customHeight="1" x14ac:dyDescent="0.2">
      <c r="A205" s="37"/>
      <c r="I205" s="1"/>
      <c r="J205" s="1"/>
      <c r="K205" s="1"/>
      <c r="L205" s="37"/>
      <c r="M205" s="42"/>
      <c r="N205" s="42"/>
      <c r="O205" s="42"/>
      <c r="P205" s="42"/>
      <c r="Q205" s="42"/>
      <c r="R205" s="42"/>
      <c r="S205" s="42"/>
      <c r="T205" s="42"/>
      <c r="U205" s="42"/>
      <c r="V205" s="42"/>
      <c r="W205" s="42"/>
      <c r="X205" s="42"/>
    </row>
    <row r="206" spans="1:194" ht="16.5" customHeight="1" x14ac:dyDescent="0.2">
      <c r="A206" s="37"/>
      <c r="I206" s="1"/>
      <c r="J206" s="1"/>
      <c r="K206" s="1"/>
      <c r="L206" s="37"/>
      <c r="M206" s="42"/>
      <c r="N206" s="42"/>
      <c r="O206" s="42"/>
      <c r="P206" s="42"/>
      <c r="Q206" s="42"/>
      <c r="R206" s="42"/>
      <c r="S206" s="42"/>
      <c r="T206" s="42"/>
      <c r="U206" s="42"/>
      <c r="V206" s="42"/>
      <c r="W206" s="42"/>
      <c r="X206" s="42"/>
    </row>
    <row r="207" spans="1:194" ht="16.5" customHeight="1" x14ac:dyDescent="0.2">
      <c r="A207" s="37"/>
      <c r="I207" s="1"/>
      <c r="J207" s="1"/>
      <c r="K207" s="1"/>
      <c r="L207" s="37"/>
      <c r="M207" s="42"/>
      <c r="N207" s="42"/>
      <c r="O207" s="42"/>
      <c r="P207" s="42"/>
      <c r="Q207" s="42"/>
      <c r="R207" s="42"/>
      <c r="S207" s="42"/>
      <c r="T207" s="42"/>
      <c r="U207" s="42"/>
      <c r="V207" s="42"/>
      <c r="W207" s="42"/>
      <c r="X207" s="42"/>
    </row>
    <row r="208" spans="1:194" ht="16.5" customHeight="1" x14ac:dyDescent="0.2">
      <c r="A208" s="37"/>
      <c r="I208" s="1"/>
      <c r="J208" s="1"/>
      <c r="K208" s="1"/>
      <c r="L208" s="37"/>
      <c r="M208" s="42"/>
      <c r="N208" s="42"/>
      <c r="O208" s="42"/>
      <c r="P208" s="42"/>
      <c r="Q208" s="42"/>
      <c r="R208" s="42"/>
      <c r="S208" s="42"/>
      <c r="T208" s="42"/>
      <c r="X208" s="42"/>
    </row>
    <row r="209" spans="1:12" ht="16.5" customHeight="1" x14ac:dyDescent="0.2">
      <c r="A209" s="37"/>
      <c r="I209" s="1"/>
      <c r="J209" s="1"/>
      <c r="K209" s="1"/>
      <c r="L209" s="37"/>
    </row>
    <row r="210" spans="1:12" ht="16.5" customHeight="1" x14ac:dyDescent="0.2">
      <c r="A210" s="37"/>
      <c r="I210" s="1"/>
      <c r="J210" s="1"/>
      <c r="K210" s="1"/>
      <c r="L210" s="37"/>
    </row>
    <row r="211" spans="1:12" ht="16.5" customHeight="1" x14ac:dyDescent="0.2">
      <c r="A211" s="37"/>
      <c r="I211" s="1"/>
      <c r="J211" s="1"/>
      <c r="K211" s="1"/>
      <c r="L211" s="37"/>
    </row>
    <row r="212" spans="1:12" ht="16.5" customHeight="1" x14ac:dyDescent="0.2">
      <c r="A212" s="37"/>
      <c r="I212" s="1"/>
      <c r="J212" s="1"/>
      <c r="K212" s="1"/>
      <c r="L212" s="37"/>
    </row>
    <row r="213" spans="1:12" ht="16.5" customHeight="1" x14ac:dyDescent="0.2">
      <c r="A213" s="37"/>
      <c r="L213" s="37"/>
    </row>
    <row r="214" spans="1:12" ht="16.5" customHeight="1" x14ac:dyDescent="0.2">
      <c r="A214" s="37"/>
      <c r="L214" s="37"/>
    </row>
    <row r="215" spans="1:12" ht="16.5" customHeight="1" x14ac:dyDescent="0.2">
      <c r="A215" s="37"/>
      <c r="L215" s="37"/>
    </row>
    <row r="216" spans="1:12" ht="16.5" customHeight="1" x14ac:dyDescent="0.2">
      <c r="A216" s="37"/>
      <c r="L216" s="37"/>
    </row>
    <row r="217" spans="1:12" ht="16.5" customHeight="1" x14ac:dyDescent="0.2">
      <c r="A217" s="37"/>
      <c r="L217" s="37"/>
    </row>
    <row r="218" spans="1:12" ht="16.5" customHeight="1" x14ac:dyDescent="0.2">
      <c r="A218" s="37"/>
      <c r="L218" s="37"/>
    </row>
    <row r="219" spans="1:12" ht="16.5" customHeight="1" x14ac:dyDescent="0.2">
      <c r="A219" s="37"/>
      <c r="L219" s="37"/>
    </row>
    <row r="220" spans="1:12" ht="16.5" customHeight="1" x14ac:dyDescent="0.2">
      <c r="A220" s="37"/>
      <c r="L220" s="37"/>
    </row>
    <row r="221" spans="1:12" ht="16.5" customHeight="1" x14ac:dyDescent="0.2">
      <c r="A221" s="37"/>
      <c r="L221" s="37"/>
    </row>
    <row r="222" spans="1:12" ht="16.5" customHeight="1" x14ac:dyDescent="0.2">
      <c r="A222" s="37"/>
      <c r="L222" s="37"/>
    </row>
    <row r="223" spans="1:12" ht="16.5" customHeight="1" x14ac:dyDescent="0.2">
      <c r="A223" s="37"/>
      <c r="L223" s="37"/>
    </row>
    <row r="224" spans="1:12" ht="16.5" customHeight="1" x14ac:dyDescent="0.2">
      <c r="A224" s="37"/>
      <c r="L224" s="37"/>
    </row>
    <row r="225" spans="1:12" ht="16.5" customHeight="1" x14ac:dyDescent="0.2">
      <c r="A225" s="37"/>
      <c r="L225" s="37"/>
    </row>
    <row r="226" spans="1:12" ht="16.5" customHeight="1" x14ac:dyDescent="0.2">
      <c r="A226" s="37"/>
      <c r="L226" s="37"/>
    </row>
    <row r="227" spans="1:12" ht="16.5" customHeight="1" x14ac:dyDescent="0.2">
      <c r="A227" s="37"/>
      <c r="L227" s="37"/>
    </row>
    <row r="228" spans="1:12" ht="16.5" customHeight="1" x14ac:dyDescent="0.2">
      <c r="A228" s="37"/>
      <c r="L228" s="37"/>
    </row>
    <row r="229" spans="1:12" ht="16.5" customHeight="1" x14ac:dyDescent="0.2">
      <c r="A229" s="37"/>
      <c r="L229" s="37"/>
    </row>
    <row r="230" spans="1:12" ht="16.5" customHeight="1" x14ac:dyDescent="0.2">
      <c r="A230" s="37"/>
      <c r="L230" s="37"/>
    </row>
    <row r="231" spans="1:12" ht="16.5" customHeight="1" x14ac:dyDescent="0.2">
      <c r="A231" s="37"/>
      <c r="L231" s="37"/>
    </row>
    <row r="232" spans="1:12" ht="16.5" customHeight="1" x14ac:dyDescent="0.2">
      <c r="A232" s="37"/>
      <c r="L232" s="37"/>
    </row>
    <row r="233" spans="1:12" ht="16.5" customHeight="1" x14ac:dyDescent="0.2">
      <c r="A233" s="37"/>
      <c r="L233" s="37"/>
    </row>
    <row r="234" spans="1:12" ht="16.5" customHeight="1" x14ac:dyDescent="0.2">
      <c r="A234" s="37"/>
      <c r="L234" s="37"/>
    </row>
    <row r="235" spans="1:12" ht="16.5" customHeight="1" x14ac:dyDescent="0.2">
      <c r="A235" s="37"/>
      <c r="L235" s="37"/>
    </row>
    <row r="236" spans="1:12" ht="16.5" customHeight="1" x14ac:dyDescent="0.2">
      <c r="A236" s="37"/>
      <c r="L236" s="37"/>
    </row>
    <row r="237" spans="1:12" ht="16.5" customHeight="1" x14ac:dyDescent="0.2">
      <c r="A237" s="37"/>
      <c r="L237" s="37"/>
    </row>
    <row r="238" spans="1:12" ht="16.5" customHeight="1" x14ac:dyDescent="0.2">
      <c r="A238" s="37"/>
      <c r="L238" s="37"/>
    </row>
    <row r="239" spans="1:12" ht="16.5" customHeight="1" x14ac:dyDescent="0.2">
      <c r="A239" s="37"/>
      <c r="L239" s="37"/>
    </row>
    <row r="240" spans="1:12" ht="16.5" customHeight="1" x14ac:dyDescent="0.2">
      <c r="A240" s="37"/>
      <c r="L240" s="37"/>
    </row>
    <row r="241" spans="1:12" ht="16.5" customHeight="1" x14ac:dyDescent="0.2">
      <c r="A241" s="37"/>
      <c r="L241" s="37"/>
    </row>
    <row r="242" spans="1:12" ht="16.5" customHeight="1" x14ac:dyDescent="0.2">
      <c r="A242" s="37"/>
      <c r="L242" s="37"/>
    </row>
    <row r="243" spans="1:12" ht="16.5" customHeight="1" x14ac:dyDescent="0.2">
      <c r="A243" s="37"/>
      <c r="L243" s="37"/>
    </row>
    <row r="244" spans="1:12" ht="16.5" customHeight="1" x14ac:dyDescent="0.2">
      <c r="A244" s="37"/>
      <c r="L244" s="37"/>
    </row>
    <row r="245" spans="1:12" ht="16.5" customHeight="1" x14ac:dyDescent="0.2">
      <c r="A245" s="37"/>
      <c r="L245" s="37"/>
    </row>
    <row r="246" spans="1:12" ht="16.5" customHeight="1" x14ac:dyDescent="0.2">
      <c r="A246" s="37"/>
      <c r="L246" s="37"/>
    </row>
    <row r="247" spans="1:12" ht="16.5" customHeight="1" x14ac:dyDescent="0.2">
      <c r="A247" s="37"/>
      <c r="L247" s="37"/>
    </row>
    <row r="248" spans="1:12" ht="16.5" customHeight="1" x14ac:dyDescent="0.2">
      <c r="A248" s="37"/>
      <c r="L248" s="37"/>
    </row>
    <row r="249" spans="1:12" ht="16.5" customHeight="1" x14ac:dyDescent="0.2">
      <c r="A249" s="37"/>
      <c r="L249" s="37"/>
    </row>
    <row r="250" spans="1:12" ht="16.5" customHeight="1" x14ac:dyDescent="0.2">
      <c r="A250" s="37"/>
      <c r="L250" s="37"/>
    </row>
    <row r="251" spans="1:12" ht="16.5" customHeight="1" x14ac:dyDescent="0.2">
      <c r="A251" s="37"/>
      <c r="L251" s="37"/>
    </row>
    <row r="252" spans="1:12" ht="16.5" customHeight="1" x14ac:dyDescent="0.2">
      <c r="A252" s="37"/>
      <c r="L252" s="37"/>
    </row>
    <row r="253" spans="1:12" ht="16.5" customHeight="1" x14ac:dyDescent="0.2">
      <c r="A253" s="37"/>
      <c r="L253" s="37"/>
    </row>
    <row r="254" spans="1:12" ht="16.5" customHeight="1" x14ac:dyDescent="0.2">
      <c r="A254" s="37"/>
      <c r="L254" s="37"/>
    </row>
    <row r="255" spans="1:12" ht="16.5" customHeight="1" x14ac:dyDescent="0.2">
      <c r="A255" s="37"/>
      <c r="L255" s="37"/>
    </row>
    <row r="256" spans="1:12" ht="16.5" customHeight="1" x14ac:dyDescent="0.2">
      <c r="A256" s="37"/>
      <c r="L256" s="37"/>
    </row>
    <row r="257" spans="1:12" ht="16.5" customHeight="1" x14ac:dyDescent="0.2">
      <c r="A257" s="37"/>
      <c r="L257" s="37"/>
    </row>
    <row r="258" spans="1:12" ht="16.5" customHeight="1" x14ac:dyDescent="0.2">
      <c r="A258" s="37"/>
      <c r="L258" s="37"/>
    </row>
    <row r="259" spans="1:12" ht="16.5" customHeight="1" x14ac:dyDescent="0.2">
      <c r="A259" s="37"/>
      <c r="L259" s="37"/>
    </row>
    <row r="260" spans="1:12" ht="16.5" customHeight="1" x14ac:dyDescent="0.2">
      <c r="A260" s="37"/>
      <c r="L260" s="37"/>
    </row>
    <row r="261" spans="1:12" ht="16.5" customHeight="1" x14ac:dyDescent="0.2">
      <c r="A261" s="37"/>
      <c r="L261" s="37"/>
    </row>
    <row r="262" spans="1:12" ht="16.5" customHeight="1" x14ac:dyDescent="0.2">
      <c r="A262" s="37"/>
      <c r="L262" s="37"/>
    </row>
    <row r="263" spans="1:12" ht="16.5" customHeight="1" x14ac:dyDescent="0.2">
      <c r="A263" s="37"/>
      <c r="L263" s="37"/>
    </row>
    <row r="264" spans="1:12" ht="16.5" customHeight="1" x14ac:dyDescent="0.2">
      <c r="A264" s="37"/>
      <c r="L264" s="37"/>
    </row>
    <row r="265" spans="1:12" ht="16.5" customHeight="1" x14ac:dyDescent="0.2">
      <c r="A265" s="37"/>
      <c r="L265" s="37"/>
    </row>
    <row r="266" spans="1:12" ht="16.5" customHeight="1" x14ac:dyDescent="0.2">
      <c r="A266" s="37"/>
      <c r="L266" s="37"/>
    </row>
    <row r="267" spans="1:12" ht="16.5" customHeight="1" x14ac:dyDescent="0.2">
      <c r="A267" s="37"/>
      <c r="L267" s="37"/>
    </row>
    <row r="268" spans="1:12" ht="16.5" customHeight="1" x14ac:dyDescent="0.2">
      <c r="A268" s="37"/>
      <c r="L268" s="37"/>
    </row>
    <row r="269" spans="1:12" ht="16.5" customHeight="1" x14ac:dyDescent="0.2">
      <c r="A269" s="37"/>
      <c r="L269" s="37"/>
    </row>
    <row r="270" spans="1:12" ht="16.5" customHeight="1" x14ac:dyDescent="0.2">
      <c r="A270" s="37"/>
      <c r="L270" s="37"/>
    </row>
    <row r="271" spans="1:12" ht="16.5" customHeight="1" x14ac:dyDescent="0.2">
      <c r="A271" s="37"/>
      <c r="L271" s="37"/>
    </row>
    <row r="272" spans="1:12" ht="16.5" customHeight="1" x14ac:dyDescent="0.2">
      <c r="A272" s="37"/>
      <c r="L272" s="37"/>
    </row>
    <row r="273" spans="1:12" ht="16.5" customHeight="1" x14ac:dyDescent="0.2">
      <c r="A273" s="37"/>
      <c r="L273" s="37"/>
    </row>
    <row r="274" spans="1:12" ht="16.5" customHeight="1" x14ac:dyDescent="0.2">
      <c r="A274" s="37"/>
      <c r="L274" s="37"/>
    </row>
    <row r="275" spans="1:12" ht="16.5" customHeight="1" x14ac:dyDescent="0.2">
      <c r="A275" s="37"/>
      <c r="L275" s="37"/>
    </row>
    <row r="276" spans="1:12" ht="16.5" customHeight="1" x14ac:dyDescent="0.2">
      <c r="A276" s="37"/>
      <c r="L276" s="37"/>
    </row>
    <row r="277" spans="1:12" ht="16.5" customHeight="1" x14ac:dyDescent="0.2">
      <c r="A277" s="37"/>
      <c r="L277" s="37"/>
    </row>
    <row r="278" spans="1:12" ht="16.5" customHeight="1" x14ac:dyDescent="0.2">
      <c r="A278" s="37"/>
      <c r="L278" s="37"/>
    </row>
    <row r="279" spans="1:12" ht="16.5" customHeight="1" x14ac:dyDescent="0.2">
      <c r="A279" s="37"/>
      <c r="L279" s="37"/>
    </row>
    <row r="280" spans="1:12" ht="16.5" customHeight="1" x14ac:dyDescent="0.2">
      <c r="A280" s="37"/>
      <c r="L280" s="37"/>
    </row>
    <row r="281" spans="1:12" ht="16.5" customHeight="1" x14ac:dyDescent="0.2">
      <c r="A281" s="37"/>
      <c r="L281" s="37"/>
    </row>
    <row r="282" spans="1:12" ht="16.5" customHeight="1" x14ac:dyDescent="0.2">
      <c r="A282" s="37"/>
      <c r="L282" s="37"/>
    </row>
    <row r="283" spans="1:12" ht="16.5" customHeight="1" x14ac:dyDescent="0.2">
      <c r="A283" s="37"/>
      <c r="L283" s="37"/>
    </row>
    <row r="284" spans="1:12" ht="16.5" customHeight="1" x14ac:dyDescent="0.2">
      <c r="A284" s="37"/>
      <c r="L284" s="37"/>
    </row>
    <row r="285" spans="1:12" ht="16.5" customHeight="1" x14ac:dyDescent="0.2">
      <c r="A285" s="37"/>
      <c r="L285" s="37"/>
    </row>
    <row r="286" spans="1:12" ht="16.5" customHeight="1" x14ac:dyDescent="0.2">
      <c r="A286" s="37"/>
      <c r="L286" s="37"/>
    </row>
    <row r="287" spans="1:12" ht="16.5" customHeight="1" x14ac:dyDescent="0.2">
      <c r="A287" s="37"/>
      <c r="L287" s="37"/>
    </row>
    <row r="288" spans="1:12" ht="16.5" customHeight="1" x14ac:dyDescent="0.2">
      <c r="A288" s="37"/>
      <c r="L288" s="37"/>
    </row>
    <row r="289" spans="1:12" ht="16.5" customHeight="1" x14ac:dyDescent="0.2">
      <c r="A289" s="37"/>
      <c r="L289" s="37"/>
    </row>
    <row r="290" spans="1:12" ht="16.5" customHeight="1" x14ac:dyDescent="0.2">
      <c r="A290" s="37"/>
      <c r="L290" s="37"/>
    </row>
    <row r="291" spans="1:12" ht="16.5" customHeight="1" x14ac:dyDescent="0.2">
      <c r="A291" s="37"/>
      <c r="L291" s="37"/>
    </row>
    <row r="292" spans="1:12" ht="16.5" customHeight="1" x14ac:dyDescent="0.2">
      <c r="A292" s="37"/>
      <c r="L292" s="37"/>
    </row>
    <row r="293" spans="1:12" ht="16.5" customHeight="1" x14ac:dyDescent="0.2">
      <c r="A293" s="37"/>
      <c r="L293" s="37"/>
    </row>
    <row r="294" spans="1:12" ht="16.5" customHeight="1" x14ac:dyDescent="0.2">
      <c r="A294" s="37"/>
      <c r="L294" s="37"/>
    </row>
    <row r="295" spans="1:12" ht="16.5" customHeight="1" x14ac:dyDescent="0.2">
      <c r="A295" s="37"/>
      <c r="L295" s="37"/>
    </row>
    <row r="296" spans="1:12" ht="16.5" customHeight="1" x14ac:dyDescent="0.2">
      <c r="A296" s="37"/>
      <c r="L296" s="37"/>
    </row>
    <row r="297" spans="1:12" ht="16.5" customHeight="1" x14ac:dyDescent="0.2">
      <c r="A297" s="37"/>
      <c r="L297" s="37"/>
    </row>
    <row r="298" spans="1:12" ht="16.5" customHeight="1" x14ac:dyDescent="0.2">
      <c r="A298" s="37"/>
      <c r="L298" s="37"/>
    </row>
    <row r="299" spans="1:12" ht="16.5" customHeight="1" x14ac:dyDescent="0.2">
      <c r="A299" s="37"/>
      <c r="L299" s="37"/>
    </row>
    <row r="300" spans="1:12" ht="16.5" customHeight="1" x14ac:dyDescent="0.2">
      <c r="A300" s="37"/>
      <c r="L300" s="37"/>
    </row>
    <row r="301" spans="1:12" ht="16.5" customHeight="1" x14ac:dyDescent="0.2">
      <c r="A301" s="37"/>
      <c r="L301" s="37"/>
    </row>
    <row r="302" spans="1:12" ht="16.5" customHeight="1" x14ac:dyDescent="0.2">
      <c r="A302" s="37"/>
      <c r="L302" s="37"/>
    </row>
    <row r="303" spans="1:12" ht="16.5" customHeight="1" x14ac:dyDescent="0.2">
      <c r="A303" s="37"/>
      <c r="L303" s="37"/>
    </row>
    <row r="304" spans="1:12" ht="16.5" customHeight="1" x14ac:dyDescent="0.2">
      <c r="A304" s="37"/>
      <c r="L304" s="37"/>
    </row>
    <row r="305" spans="1:12" ht="16.5" customHeight="1" x14ac:dyDescent="0.2">
      <c r="A305" s="37"/>
      <c r="L305" s="37"/>
    </row>
    <row r="306" spans="1:12" ht="16.5" customHeight="1" x14ac:dyDescent="0.2">
      <c r="A306" s="37"/>
      <c r="L306" s="37"/>
    </row>
    <row r="307" spans="1:12" ht="16.5" customHeight="1" x14ac:dyDescent="0.2">
      <c r="A307" s="37"/>
      <c r="L307" s="37"/>
    </row>
    <row r="308" spans="1:12" ht="16.5" customHeight="1" x14ac:dyDescent="0.2">
      <c r="A308" s="37"/>
      <c r="L308" s="37"/>
    </row>
    <row r="309" spans="1:12" ht="16.5" customHeight="1" x14ac:dyDescent="0.2">
      <c r="A309" s="37"/>
      <c r="L309" s="37"/>
    </row>
    <row r="310" spans="1:12" ht="16.5" customHeight="1" x14ac:dyDescent="0.2">
      <c r="A310" s="37"/>
      <c r="L310" s="37"/>
    </row>
    <row r="311" spans="1:12" ht="16.5" customHeight="1" x14ac:dyDescent="0.2">
      <c r="A311" s="37"/>
      <c r="L311" s="37"/>
    </row>
    <row r="312" spans="1:12" ht="16.5" customHeight="1" x14ac:dyDescent="0.2">
      <c r="A312" s="37"/>
      <c r="L312" s="37"/>
    </row>
    <row r="313" spans="1:12" ht="16.5" customHeight="1" x14ac:dyDescent="0.2">
      <c r="A313" s="37"/>
      <c r="L313" s="37"/>
    </row>
    <row r="314" spans="1:12" ht="16.5" customHeight="1" x14ac:dyDescent="0.2">
      <c r="A314" s="37"/>
      <c r="L314" s="37"/>
    </row>
    <row r="315" spans="1:12" ht="16.5" customHeight="1" x14ac:dyDescent="0.2">
      <c r="A315" s="37"/>
      <c r="L315" s="37"/>
    </row>
    <row r="316" spans="1:12" ht="16.5" customHeight="1" x14ac:dyDescent="0.2">
      <c r="A316" s="37"/>
      <c r="L316" s="37"/>
    </row>
    <row r="317" spans="1:12" ht="16.5" customHeight="1" x14ac:dyDescent="0.2">
      <c r="A317" s="37"/>
      <c r="L317" s="37"/>
    </row>
    <row r="318" spans="1:12" ht="16.5" customHeight="1" x14ac:dyDescent="0.2">
      <c r="A318" s="37"/>
      <c r="L318" s="37"/>
    </row>
    <row r="319" spans="1:12" ht="16.5" customHeight="1" x14ac:dyDescent="0.2">
      <c r="A319" s="37"/>
      <c r="L319" s="37"/>
    </row>
    <row r="320" spans="1:12" ht="16.5" customHeight="1" x14ac:dyDescent="0.2">
      <c r="A320" s="37"/>
      <c r="L320" s="37"/>
    </row>
    <row r="321" spans="1:12" ht="16.5" customHeight="1" x14ac:dyDescent="0.2">
      <c r="A321" s="37"/>
      <c r="L321" s="37"/>
    </row>
    <row r="322" spans="1:12" ht="16.5" customHeight="1" x14ac:dyDescent="0.2">
      <c r="A322" s="37"/>
      <c r="L322" s="37"/>
    </row>
    <row r="323" spans="1:12" ht="16.5" customHeight="1" x14ac:dyDescent="0.2">
      <c r="A323" s="37"/>
      <c r="L323" s="37"/>
    </row>
    <row r="324" spans="1:12" ht="16.5" customHeight="1" x14ac:dyDescent="0.2">
      <c r="A324" s="37"/>
      <c r="L324" s="37"/>
    </row>
    <row r="325" spans="1:12" ht="16.5" customHeight="1" x14ac:dyDescent="0.2">
      <c r="A325" s="37"/>
      <c r="L325" s="37"/>
    </row>
    <row r="326" spans="1:12" ht="16.5" customHeight="1" x14ac:dyDescent="0.2">
      <c r="A326" s="37"/>
      <c r="L326" s="37"/>
    </row>
    <row r="327" spans="1:12" ht="16.5" customHeight="1" x14ac:dyDescent="0.2">
      <c r="A327" s="37"/>
      <c r="L327" s="37"/>
    </row>
    <row r="328" spans="1:12" ht="16.5" customHeight="1" x14ac:dyDescent="0.2">
      <c r="A328" s="37"/>
      <c r="L328" s="37"/>
    </row>
    <row r="329" spans="1:12" ht="16.5" customHeight="1" x14ac:dyDescent="0.2">
      <c r="A329" s="37"/>
      <c r="L329" s="37"/>
    </row>
    <row r="330" spans="1:12" ht="16.5" customHeight="1" x14ac:dyDescent="0.2">
      <c r="A330" s="37"/>
      <c r="L330" s="37"/>
    </row>
    <row r="331" spans="1:12" ht="16.5" customHeight="1" x14ac:dyDescent="0.2">
      <c r="A331" s="37"/>
      <c r="L331" s="37"/>
    </row>
    <row r="332" spans="1:12" ht="16.5" customHeight="1" x14ac:dyDescent="0.2">
      <c r="A332" s="37"/>
      <c r="L332" s="37"/>
    </row>
    <row r="333" spans="1:12" ht="16.5" customHeight="1" x14ac:dyDescent="0.2">
      <c r="A333" s="37"/>
      <c r="L333" s="37"/>
    </row>
    <row r="334" spans="1:12" ht="16.5" customHeight="1" x14ac:dyDescent="0.2">
      <c r="A334" s="37"/>
      <c r="L334" s="37"/>
    </row>
    <row r="335" spans="1:12" ht="16.5" customHeight="1" x14ac:dyDescent="0.2">
      <c r="A335" s="37"/>
      <c r="L335" s="37"/>
    </row>
    <row r="336" spans="1:12" ht="16.5" customHeight="1" x14ac:dyDescent="0.2">
      <c r="A336" s="37"/>
      <c r="L336" s="37"/>
    </row>
    <row r="337" spans="1:12" ht="16.5" customHeight="1" x14ac:dyDescent="0.2">
      <c r="A337" s="37"/>
      <c r="L337" s="37"/>
    </row>
    <row r="338" spans="1:12" ht="16.5" customHeight="1" x14ac:dyDescent="0.2">
      <c r="A338" s="37"/>
      <c r="L338" s="37"/>
    </row>
    <row r="339" spans="1:12" ht="16.5" customHeight="1" x14ac:dyDescent="0.2">
      <c r="A339" s="37"/>
      <c r="L339" s="37"/>
    </row>
    <row r="340" spans="1:12" ht="16.5" customHeight="1" x14ac:dyDescent="0.2">
      <c r="A340" s="37"/>
      <c r="L340" s="37"/>
    </row>
    <row r="341" spans="1:12" ht="16.5" customHeight="1" x14ac:dyDescent="0.2">
      <c r="A341" s="37"/>
      <c r="L341" s="37"/>
    </row>
    <row r="342" spans="1:12" ht="16.5" customHeight="1" x14ac:dyDescent="0.2">
      <c r="A342" s="37"/>
      <c r="L342" s="37"/>
    </row>
    <row r="343" spans="1:12" ht="16.5" customHeight="1" x14ac:dyDescent="0.2">
      <c r="A343" s="37"/>
      <c r="L343" s="37"/>
    </row>
    <row r="344" spans="1:12" ht="16.5" customHeight="1" x14ac:dyDescent="0.2">
      <c r="A344" s="37"/>
      <c r="L344" s="37"/>
    </row>
    <row r="345" spans="1:12" ht="16.5" customHeight="1" x14ac:dyDescent="0.2">
      <c r="A345" s="37"/>
      <c r="L345" s="37"/>
    </row>
    <row r="346" spans="1:12" ht="16.5" customHeight="1" x14ac:dyDescent="0.2">
      <c r="A346" s="37"/>
      <c r="L346" s="37"/>
    </row>
    <row r="347" spans="1:12" ht="16.5" customHeight="1" x14ac:dyDescent="0.2">
      <c r="A347" s="37"/>
      <c r="L347" s="37"/>
    </row>
    <row r="348" spans="1:12" ht="16.5" customHeight="1" x14ac:dyDescent="0.2">
      <c r="A348" s="37"/>
      <c r="L348" s="37"/>
    </row>
    <row r="349" spans="1:12" ht="16.5" customHeight="1" x14ac:dyDescent="0.2">
      <c r="A349" s="37"/>
      <c r="L349" s="37"/>
    </row>
    <row r="350" spans="1:12" ht="16.5" customHeight="1" x14ac:dyDescent="0.2">
      <c r="A350" s="37"/>
      <c r="L350" s="37"/>
    </row>
    <row r="351" spans="1:12" ht="16.5" customHeight="1" x14ac:dyDescent="0.2">
      <c r="A351" s="37"/>
      <c r="L351" s="37"/>
    </row>
    <row r="352" spans="1:12" ht="16.5" customHeight="1" x14ac:dyDescent="0.2">
      <c r="A352" s="37"/>
      <c r="L352" s="37"/>
    </row>
    <row r="353" spans="1:12" ht="16.5" customHeight="1" x14ac:dyDescent="0.2">
      <c r="A353" s="37"/>
      <c r="L353" s="37"/>
    </row>
    <row r="354" spans="1:12" ht="16.5" customHeight="1" x14ac:dyDescent="0.2">
      <c r="A354" s="37"/>
      <c r="L354" s="37"/>
    </row>
    <row r="355" spans="1:12" ht="16.5" customHeight="1" x14ac:dyDescent="0.2">
      <c r="A355" s="37"/>
      <c r="L355" s="37"/>
    </row>
    <row r="356" spans="1:12" ht="16.5" customHeight="1" x14ac:dyDescent="0.2">
      <c r="A356" s="37"/>
      <c r="L356" s="37"/>
    </row>
    <row r="357" spans="1:12" ht="16.5" customHeight="1" x14ac:dyDescent="0.2">
      <c r="A357" s="37"/>
      <c r="L357" s="37"/>
    </row>
    <row r="358" spans="1:12" ht="16.5" customHeight="1" x14ac:dyDescent="0.2">
      <c r="A358" s="37"/>
      <c r="L358" s="37"/>
    </row>
    <row r="359" spans="1:12" ht="16.5" customHeight="1" x14ac:dyDescent="0.2">
      <c r="A359" s="37"/>
      <c r="L359" s="37"/>
    </row>
    <row r="360" spans="1:12" ht="16.5" customHeight="1" x14ac:dyDescent="0.2">
      <c r="A360" s="37"/>
      <c r="L360" s="37"/>
    </row>
    <row r="361" spans="1:12" ht="16.5" customHeight="1" x14ac:dyDescent="0.2">
      <c r="A361" s="37"/>
      <c r="L361" s="37"/>
    </row>
    <row r="362" spans="1:12" ht="16.5" customHeight="1" x14ac:dyDescent="0.2">
      <c r="A362" s="37"/>
      <c r="L362" s="37"/>
    </row>
    <row r="363" spans="1:12" ht="16.5" customHeight="1" x14ac:dyDescent="0.2">
      <c r="A363" s="37"/>
      <c r="L363" s="37"/>
    </row>
    <row r="364" spans="1:12" ht="16.5" customHeight="1" x14ac:dyDescent="0.2">
      <c r="A364" s="37"/>
      <c r="L364" s="37"/>
    </row>
    <row r="365" spans="1:12" ht="16.5" customHeight="1" x14ac:dyDescent="0.2">
      <c r="A365" s="37"/>
      <c r="L365" s="37"/>
    </row>
    <row r="366" spans="1:12" ht="16.5" customHeight="1" x14ac:dyDescent="0.2">
      <c r="A366" s="37"/>
      <c r="L366" s="37"/>
    </row>
    <row r="367" spans="1:12" ht="16.5" customHeight="1" x14ac:dyDescent="0.2">
      <c r="A367" s="37"/>
      <c r="L367" s="37"/>
    </row>
    <row r="368" spans="1:12" ht="16.5" customHeight="1" x14ac:dyDescent="0.2">
      <c r="A368" s="37"/>
      <c r="L368" s="37"/>
    </row>
    <row r="369" spans="1:12" ht="16.5" customHeight="1" x14ac:dyDescent="0.2">
      <c r="A369" s="37"/>
      <c r="L369" s="37"/>
    </row>
    <row r="370" spans="1:12" ht="16.5" customHeight="1" x14ac:dyDescent="0.2">
      <c r="A370" s="37"/>
      <c r="L370" s="37"/>
    </row>
    <row r="371" spans="1:12" ht="16.5" customHeight="1" x14ac:dyDescent="0.2">
      <c r="A371" s="37"/>
      <c r="L371" s="37"/>
    </row>
    <row r="372" spans="1:12" ht="16.5" customHeight="1" x14ac:dyDescent="0.2">
      <c r="A372" s="37"/>
      <c r="L372" s="37"/>
    </row>
    <row r="373" spans="1:12" ht="16.5" customHeight="1" x14ac:dyDescent="0.2">
      <c r="A373" s="37"/>
      <c r="L373" s="37"/>
    </row>
    <row r="374" spans="1:12" ht="16.5" customHeight="1" x14ac:dyDescent="0.2">
      <c r="A374" s="37"/>
      <c r="L374" s="37"/>
    </row>
    <row r="375" spans="1:12" ht="16.5" customHeight="1" x14ac:dyDescent="0.2">
      <c r="A375" s="37"/>
      <c r="L375" s="37"/>
    </row>
    <row r="376" spans="1:12" ht="16.5" customHeight="1" x14ac:dyDescent="0.2">
      <c r="A376" s="37"/>
      <c r="L376" s="37"/>
    </row>
    <row r="377" spans="1:12" ht="16.5" customHeight="1" x14ac:dyDescent="0.2">
      <c r="A377" s="37"/>
      <c r="L377" s="37"/>
    </row>
    <row r="378" spans="1:12" ht="16.5" customHeight="1" x14ac:dyDescent="0.2">
      <c r="A378" s="37"/>
      <c r="L378" s="37"/>
    </row>
    <row r="379" spans="1:12" ht="16.5" customHeight="1" x14ac:dyDescent="0.2">
      <c r="A379" s="37"/>
      <c r="L379" s="37"/>
    </row>
    <row r="380" spans="1:12" ht="16.5" customHeight="1" x14ac:dyDescent="0.2">
      <c r="A380" s="37"/>
      <c r="L380" s="37"/>
    </row>
    <row r="381" spans="1:12" ht="16.5" customHeight="1" x14ac:dyDescent="0.2">
      <c r="A381" s="37"/>
      <c r="L381" s="37"/>
    </row>
    <row r="382" spans="1:12" ht="16.5" customHeight="1" x14ac:dyDescent="0.2">
      <c r="A382" s="37"/>
      <c r="L382" s="37"/>
    </row>
    <row r="383" spans="1:12" ht="16.5" customHeight="1" x14ac:dyDescent="0.2">
      <c r="A383" s="37"/>
      <c r="L383" s="37"/>
    </row>
    <row r="384" spans="1:12" ht="16.5" customHeight="1" x14ac:dyDescent="0.2">
      <c r="A384" s="37"/>
      <c r="L384" s="37"/>
    </row>
    <row r="385" spans="1:12" ht="16.5" customHeight="1" x14ac:dyDescent="0.2">
      <c r="A385" s="37"/>
      <c r="L385" s="37"/>
    </row>
    <row r="386" spans="1:12" ht="16.5" customHeight="1" x14ac:dyDescent="0.2">
      <c r="A386" s="37"/>
      <c r="L386" s="37"/>
    </row>
    <row r="387" spans="1:12" ht="16.5" customHeight="1" x14ac:dyDescent="0.2">
      <c r="A387" s="37"/>
      <c r="L387" s="37"/>
    </row>
    <row r="388" spans="1:12" ht="16.5" customHeight="1" x14ac:dyDescent="0.2">
      <c r="A388" s="37"/>
      <c r="L388" s="37"/>
    </row>
    <row r="389" spans="1:12" ht="16.5" customHeight="1" x14ac:dyDescent="0.2">
      <c r="A389" s="37"/>
      <c r="L389" s="37"/>
    </row>
    <row r="390" spans="1:12" ht="16.5" customHeight="1" x14ac:dyDescent="0.2">
      <c r="A390" s="37"/>
      <c r="L390" s="37"/>
    </row>
    <row r="391" spans="1:12" ht="16.5" customHeight="1" x14ac:dyDescent="0.2">
      <c r="A391" s="37"/>
      <c r="L391" s="37"/>
    </row>
    <row r="392" spans="1:12" ht="16.5" customHeight="1" x14ac:dyDescent="0.2">
      <c r="A392" s="37"/>
      <c r="L392" s="37"/>
    </row>
    <row r="393" spans="1:12" ht="16.5" customHeight="1" x14ac:dyDescent="0.2">
      <c r="A393" s="37"/>
      <c r="L393" s="37"/>
    </row>
    <row r="394" spans="1:12" ht="16.5" customHeight="1" x14ac:dyDescent="0.2">
      <c r="A394" s="37"/>
      <c r="L394" s="37"/>
    </row>
    <row r="395" spans="1:12" ht="16.5" customHeight="1" x14ac:dyDescent="0.2">
      <c r="A395" s="37"/>
      <c r="L395" s="37"/>
    </row>
    <row r="396" spans="1:12" ht="16.5" customHeight="1" x14ac:dyDescent="0.2">
      <c r="A396" s="37"/>
      <c r="L396" s="37"/>
    </row>
    <row r="397" spans="1:12" ht="16.5" customHeight="1" x14ac:dyDescent="0.2">
      <c r="A397" s="37"/>
      <c r="L397" s="37"/>
    </row>
    <row r="398" spans="1:12" ht="16.5" customHeight="1" x14ac:dyDescent="0.2">
      <c r="A398" s="37"/>
      <c r="L398" s="37"/>
    </row>
    <row r="399" spans="1:12" ht="16.5" customHeight="1" x14ac:dyDescent="0.2">
      <c r="A399" s="37"/>
      <c r="L399" s="37"/>
    </row>
    <row r="400" spans="1:12" ht="16.5" customHeight="1" x14ac:dyDescent="0.2">
      <c r="A400" s="37"/>
      <c r="L400" s="37"/>
    </row>
    <row r="401" spans="1:12" ht="16.5" customHeight="1" x14ac:dyDescent="0.2">
      <c r="A401" s="37"/>
      <c r="L401" s="37"/>
    </row>
    <row r="402" spans="1:12" ht="16.5" customHeight="1" x14ac:dyDescent="0.2">
      <c r="A402" s="37"/>
      <c r="L402" s="37"/>
    </row>
    <row r="403" spans="1:12" ht="16.5" customHeight="1" x14ac:dyDescent="0.2">
      <c r="A403" s="37"/>
      <c r="L403" s="37"/>
    </row>
    <row r="404" spans="1:12" ht="16.5" customHeight="1" x14ac:dyDescent="0.2">
      <c r="A404" s="37"/>
      <c r="L404" s="37"/>
    </row>
    <row r="405" spans="1:12" ht="16.5" customHeight="1" x14ac:dyDescent="0.2">
      <c r="A405" s="37"/>
      <c r="L405" s="37"/>
    </row>
    <row r="406" spans="1:12" ht="16.5" customHeight="1" x14ac:dyDescent="0.2">
      <c r="A406" s="37"/>
      <c r="L406" s="37"/>
    </row>
    <row r="407" spans="1:12" ht="16.5" customHeight="1" x14ac:dyDescent="0.2">
      <c r="A407" s="37"/>
      <c r="L407" s="37"/>
    </row>
    <row r="408" spans="1:12" ht="16.5" customHeight="1" x14ac:dyDescent="0.2">
      <c r="A408" s="37"/>
      <c r="L408" s="37"/>
    </row>
    <row r="409" spans="1:12" ht="16.5" customHeight="1" x14ac:dyDescent="0.2">
      <c r="A409" s="37"/>
      <c r="L409" s="37"/>
    </row>
    <row r="410" spans="1:12" ht="16.5" customHeight="1" x14ac:dyDescent="0.2">
      <c r="A410" s="37"/>
      <c r="L410" s="37"/>
    </row>
    <row r="411" spans="1:12" ht="16.5" customHeight="1" x14ac:dyDescent="0.2">
      <c r="A411" s="37"/>
      <c r="L411" s="37"/>
    </row>
    <row r="412" spans="1:12" ht="16.5" customHeight="1" x14ac:dyDescent="0.2">
      <c r="A412" s="37"/>
      <c r="L412" s="37"/>
    </row>
    <row r="413" spans="1:12" ht="16.5" customHeight="1" x14ac:dyDescent="0.2">
      <c r="A413" s="37"/>
      <c r="L413" s="37"/>
    </row>
    <row r="414" spans="1:12" ht="16.5" customHeight="1" x14ac:dyDescent="0.2">
      <c r="A414" s="37"/>
      <c r="L414" s="37"/>
    </row>
    <row r="415" spans="1:12" ht="16.5" customHeight="1" x14ac:dyDescent="0.2">
      <c r="A415" s="37"/>
      <c r="L415" s="37"/>
    </row>
    <row r="416" spans="1:12" ht="16.5" customHeight="1" x14ac:dyDescent="0.2">
      <c r="A416" s="37"/>
      <c r="L416" s="37"/>
    </row>
    <row r="417" spans="1:12" ht="16.5" customHeight="1" x14ac:dyDescent="0.2">
      <c r="A417" s="37"/>
      <c r="L417" s="37"/>
    </row>
    <row r="418" spans="1:12" ht="16.5" customHeight="1" x14ac:dyDescent="0.2">
      <c r="A418" s="37"/>
      <c r="L418" s="37"/>
    </row>
    <row r="419" spans="1:12" ht="16.5" customHeight="1" x14ac:dyDescent="0.2">
      <c r="A419" s="37"/>
      <c r="L419" s="37"/>
    </row>
    <row r="420" spans="1:12" ht="16.5" customHeight="1" x14ac:dyDescent="0.2">
      <c r="A420" s="37"/>
      <c r="L420" s="37"/>
    </row>
    <row r="421" spans="1:12" ht="16.5" customHeight="1" x14ac:dyDescent="0.2">
      <c r="A421" s="37"/>
      <c r="L421" s="37"/>
    </row>
    <row r="422" spans="1:12" ht="16.5" customHeight="1" x14ac:dyDescent="0.2">
      <c r="A422" s="37"/>
      <c r="L422" s="37"/>
    </row>
    <row r="423" spans="1:12" ht="16.5" customHeight="1" x14ac:dyDescent="0.2">
      <c r="A423" s="37"/>
      <c r="L423" s="37"/>
    </row>
    <row r="424" spans="1:12" ht="16.5" customHeight="1" x14ac:dyDescent="0.2">
      <c r="A424" s="37"/>
      <c r="L424" s="37"/>
    </row>
    <row r="425" spans="1:12" ht="16.5" customHeight="1" x14ac:dyDescent="0.2">
      <c r="A425" s="37"/>
      <c r="L425" s="37"/>
    </row>
    <row r="426" spans="1:12" ht="16.5" customHeight="1" x14ac:dyDescent="0.2">
      <c r="A426" s="37"/>
      <c r="L426" s="37"/>
    </row>
    <row r="427" spans="1:12" ht="16.5" customHeight="1" x14ac:dyDescent="0.2">
      <c r="A427" s="37"/>
      <c r="L427" s="37"/>
    </row>
    <row r="428" spans="1:12" ht="16.5" customHeight="1" x14ac:dyDescent="0.2">
      <c r="A428" s="37"/>
      <c r="L428" s="37"/>
    </row>
    <row r="429" spans="1:12" ht="16.5" customHeight="1" x14ac:dyDescent="0.2">
      <c r="A429" s="37"/>
      <c r="L429" s="37"/>
    </row>
    <row r="430" spans="1:12" ht="16.5" customHeight="1" x14ac:dyDescent="0.2">
      <c r="A430" s="37"/>
      <c r="L430" s="37"/>
    </row>
    <row r="431" spans="1:12" ht="16.5" customHeight="1" x14ac:dyDescent="0.2">
      <c r="A431" s="37"/>
      <c r="L431" s="37"/>
    </row>
    <row r="432" spans="1:12" ht="16.5" customHeight="1" x14ac:dyDescent="0.2">
      <c r="A432" s="37"/>
      <c r="L432" s="37"/>
    </row>
    <row r="433" spans="1:12" ht="16.5" customHeight="1" x14ac:dyDescent="0.2">
      <c r="A433" s="37"/>
      <c r="L433" s="37"/>
    </row>
    <row r="434" spans="1:12" ht="16.5" customHeight="1" x14ac:dyDescent="0.2">
      <c r="A434" s="37"/>
      <c r="L434" s="37"/>
    </row>
    <row r="435" spans="1:12" ht="16.5" customHeight="1" x14ac:dyDescent="0.2">
      <c r="A435" s="37"/>
      <c r="L435" s="37"/>
    </row>
    <row r="436" spans="1:12" ht="16.5" customHeight="1" x14ac:dyDescent="0.2">
      <c r="A436" s="37"/>
      <c r="L436" s="37"/>
    </row>
    <row r="437" spans="1:12" ht="16.5" customHeight="1" x14ac:dyDescent="0.2">
      <c r="A437" s="37"/>
      <c r="L437" s="37"/>
    </row>
    <row r="438" spans="1:12" ht="16.5" customHeight="1" x14ac:dyDescent="0.2">
      <c r="A438" s="37"/>
      <c r="L438" s="37"/>
    </row>
    <row r="439" spans="1:12" ht="16.5" customHeight="1" x14ac:dyDescent="0.2">
      <c r="A439" s="37"/>
      <c r="L439" s="37"/>
    </row>
    <row r="440" spans="1:12" ht="16.5" customHeight="1" x14ac:dyDescent="0.2">
      <c r="A440" s="37"/>
      <c r="L440" s="37"/>
    </row>
    <row r="441" spans="1:12" ht="16.5" customHeight="1" x14ac:dyDescent="0.2">
      <c r="A441" s="37"/>
      <c r="L441" s="37"/>
    </row>
    <row r="442" spans="1:12" ht="16.5" customHeight="1" x14ac:dyDescent="0.2">
      <c r="A442" s="37"/>
      <c r="L442" s="37"/>
    </row>
    <row r="443" spans="1:12" ht="16.5" customHeight="1" x14ac:dyDescent="0.2">
      <c r="A443" s="37"/>
      <c r="L443" s="37"/>
    </row>
    <row r="444" spans="1:12" ht="16.5" customHeight="1" x14ac:dyDescent="0.2">
      <c r="A444" s="37"/>
      <c r="L444" s="37"/>
    </row>
    <row r="445" spans="1:12" ht="16.5" customHeight="1" x14ac:dyDescent="0.2">
      <c r="A445" s="37"/>
      <c r="L445" s="37"/>
    </row>
    <row r="446" spans="1:12" ht="16.5" customHeight="1" x14ac:dyDescent="0.2">
      <c r="A446" s="37"/>
      <c r="L446" s="37"/>
    </row>
    <row r="447" spans="1:12" ht="16.5" customHeight="1" x14ac:dyDescent="0.2">
      <c r="A447" s="37"/>
      <c r="L447" s="37"/>
    </row>
    <row r="448" spans="1:12" ht="16.5" customHeight="1" x14ac:dyDescent="0.2">
      <c r="A448" s="37"/>
      <c r="L448" s="37"/>
    </row>
    <row r="449" spans="1:12" ht="16.5" customHeight="1" x14ac:dyDescent="0.2">
      <c r="A449" s="37"/>
      <c r="L449" s="37"/>
    </row>
    <row r="450" spans="1:12" ht="16.5" customHeight="1" x14ac:dyDescent="0.2">
      <c r="A450" s="37"/>
      <c r="L450" s="37"/>
    </row>
    <row r="451" spans="1:12" ht="16.5" customHeight="1" x14ac:dyDescent="0.2">
      <c r="A451" s="37"/>
      <c r="L451" s="37"/>
    </row>
    <row r="452" spans="1:12" ht="16.5" customHeight="1" x14ac:dyDescent="0.2">
      <c r="A452" s="37"/>
      <c r="L452" s="37"/>
    </row>
    <row r="453" spans="1:12" ht="16.5" customHeight="1" x14ac:dyDescent="0.2">
      <c r="A453" s="37"/>
      <c r="L453" s="37"/>
    </row>
    <row r="454" spans="1:12" ht="16.5" customHeight="1" x14ac:dyDescent="0.2">
      <c r="A454" s="37"/>
      <c r="L454" s="37"/>
    </row>
    <row r="455" spans="1:12" ht="16.5" customHeight="1" x14ac:dyDescent="0.2">
      <c r="A455" s="37"/>
      <c r="L455" s="37"/>
    </row>
    <row r="456" spans="1:12" ht="16.5" customHeight="1" x14ac:dyDescent="0.2">
      <c r="A456" s="37"/>
      <c r="L456" s="37"/>
    </row>
    <row r="457" spans="1:12" ht="16.5" customHeight="1" x14ac:dyDescent="0.2">
      <c r="A457" s="37"/>
      <c r="L457" s="37"/>
    </row>
    <row r="458" spans="1:12" ht="16.5" customHeight="1" x14ac:dyDescent="0.2">
      <c r="A458" s="37"/>
      <c r="L458" s="37"/>
    </row>
    <row r="459" spans="1:12" ht="16.5" customHeight="1" x14ac:dyDescent="0.2">
      <c r="A459" s="37"/>
      <c r="L459" s="37"/>
    </row>
    <row r="460" spans="1:12" ht="16.5" customHeight="1" x14ac:dyDescent="0.2">
      <c r="A460" s="37"/>
      <c r="L460" s="37"/>
    </row>
    <row r="461" spans="1:12" ht="16.5" customHeight="1" x14ac:dyDescent="0.2">
      <c r="A461" s="37"/>
      <c r="L461" s="37"/>
    </row>
    <row r="462" spans="1:12" ht="16.5" customHeight="1" x14ac:dyDescent="0.2">
      <c r="A462" s="37"/>
      <c r="L462" s="37"/>
    </row>
    <row r="463" spans="1:12" ht="16.5" customHeight="1" x14ac:dyDescent="0.2">
      <c r="A463" s="37"/>
      <c r="L463" s="37"/>
    </row>
    <row r="464" spans="1:12" ht="16.5" customHeight="1" x14ac:dyDescent="0.2">
      <c r="A464" s="37"/>
      <c r="L464" s="37"/>
    </row>
    <row r="465" spans="1:12" ht="16.5" customHeight="1" x14ac:dyDescent="0.2">
      <c r="A465" s="37"/>
      <c r="L465" s="37"/>
    </row>
    <row r="466" spans="1:12" ht="16.5" customHeight="1" x14ac:dyDescent="0.2">
      <c r="A466" s="37"/>
      <c r="L466" s="37"/>
    </row>
    <row r="467" spans="1:12" ht="16.5" customHeight="1" x14ac:dyDescent="0.2">
      <c r="A467" s="37"/>
      <c r="L467" s="37"/>
    </row>
    <row r="468" spans="1:12" ht="16.5" customHeight="1" x14ac:dyDescent="0.2">
      <c r="A468" s="37"/>
      <c r="L468" s="37"/>
    </row>
    <row r="469" spans="1:12" ht="16.5" customHeight="1" x14ac:dyDescent="0.2">
      <c r="A469" s="37"/>
      <c r="L469" s="37"/>
    </row>
    <row r="470" spans="1:12" ht="16.5" customHeight="1" x14ac:dyDescent="0.2">
      <c r="A470" s="37"/>
      <c r="L470" s="37"/>
    </row>
    <row r="471" spans="1:12" ht="16.5" customHeight="1" x14ac:dyDescent="0.2">
      <c r="A471" s="37"/>
      <c r="L471" s="37"/>
    </row>
    <row r="472" spans="1:12" ht="16.5" customHeight="1" x14ac:dyDescent="0.2">
      <c r="A472" s="37"/>
      <c r="L472" s="37"/>
    </row>
    <row r="473" spans="1:12" ht="16.5" customHeight="1" x14ac:dyDescent="0.2">
      <c r="A473" s="37"/>
      <c r="L473" s="37"/>
    </row>
    <row r="474" spans="1:12" ht="16.5" customHeight="1" x14ac:dyDescent="0.2">
      <c r="A474" s="37"/>
      <c r="L474" s="37"/>
    </row>
    <row r="475" spans="1:12" ht="16.5" customHeight="1" x14ac:dyDescent="0.2">
      <c r="A475" s="37"/>
      <c r="L475" s="37"/>
    </row>
    <row r="476" spans="1:12" ht="16.5" customHeight="1" x14ac:dyDescent="0.2">
      <c r="A476" s="37"/>
      <c r="L476" s="37"/>
    </row>
    <row r="477" spans="1:12" ht="16.5" customHeight="1" x14ac:dyDescent="0.2">
      <c r="A477" s="37"/>
      <c r="L477" s="37"/>
    </row>
    <row r="478" spans="1:12" ht="16.5" customHeight="1" x14ac:dyDescent="0.2">
      <c r="A478" s="37"/>
      <c r="L478" s="37"/>
    </row>
    <row r="479" spans="1:12" ht="16.5" customHeight="1" x14ac:dyDescent="0.2">
      <c r="A479" s="37"/>
      <c r="L479" s="37"/>
    </row>
    <row r="480" spans="1:12" ht="16.5" customHeight="1" x14ac:dyDescent="0.2">
      <c r="A480" s="37"/>
      <c r="L480" s="37"/>
    </row>
    <row r="481" spans="1:12" ht="16.5" customHeight="1" x14ac:dyDescent="0.2">
      <c r="A481" s="37"/>
      <c r="L481" s="37"/>
    </row>
    <row r="482" spans="1:12" ht="16.5" customHeight="1" x14ac:dyDescent="0.2">
      <c r="A482" s="37"/>
      <c r="L482" s="37"/>
    </row>
    <row r="483" spans="1:12" ht="16.5" customHeight="1" x14ac:dyDescent="0.2">
      <c r="A483" s="37"/>
      <c r="L483" s="37"/>
    </row>
    <row r="484" spans="1:12" ht="16.5" customHeight="1" x14ac:dyDescent="0.2">
      <c r="A484" s="37"/>
      <c r="L484" s="37"/>
    </row>
    <row r="485" spans="1:12" ht="16.5" customHeight="1" x14ac:dyDescent="0.2">
      <c r="A485" s="37"/>
      <c r="L485" s="37"/>
    </row>
    <row r="486" spans="1:12" ht="16.5" customHeight="1" x14ac:dyDescent="0.2">
      <c r="A486" s="37"/>
      <c r="L486" s="37"/>
    </row>
    <row r="487" spans="1:12" ht="16.5" customHeight="1" x14ac:dyDescent="0.2">
      <c r="A487" s="37"/>
      <c r="L487" s="37"/>
    </row>
    <row r="488" spans="1:12" ht="16.5" customHeight="1" x14ac:dyDescent="0.2">
      <c r="A488" s="37"/>
      <c r="L488" s="37"/>
    </row>
    <row r="489" spans="1:12" ht="16.5" customHeight="1" x14ac:dyDescent="0.2">
      <c r="A489" s="37"/>
      <c r="L489" s="37"/>
    </row>
    <row r="490" spans="1:12" ht="16.5" customHeight="1" x14ac:dyDescent="0.2">
      <c r="A490" s="37"/>
      <c r="L490" s="37"/>
    </row>
    <row r="491" spans="1:12" ht="16.5" customHeight="1" x14ac:dyDescent="0.2">
      <c r="A491" s="37"/>
      <c r="L491" s="37"/>
    </row>
    <row r="492" spans="1:12" ht="16.5" customHeight="1" x14ac:dyDescent="0.2">
      <c r="A492" s="37"/>
      <c r="L492" s="37"/>
    </row>
    <row r="493" spans="1:12" ht="16.5" customHeight="1" x14ac:dyDescent="0.2">
      <c r="A493" s="37"/>
      <c r="L493" s="37"/>
    </row>
    <row r="494" spans="1:12" ht="16.5" customHeight="1" x14ac:dyDescent="0.2">
      <c r="A494" s="37"/>
      <c r="L494" s="37"/>
    </row>
    <row r="495" spans="1:12" ht="16.5" customHeight="1" x14ac:dyDescent="0.2">
      <c r="A495" s="37"/>
      <c r="L495" s="37"/>
    </row>
    <row r="496" spans="1:12" ht="16.5" customHeight="1" x14ac:dyDescent="0.2">
      <c r="A496" s="37"/>
      <c r="L496" s="37"/>
    </row>
    <row r="497" spans="1:12" ht="16.5" customHeight="1" x14ac:dyDescent="0.2">
      <c r="A497" s="37"/>
      <c r="L497" s="37"/>
    </row>
    <row r="498" spans="1:12" ht="16.5" customHeight="1" x14ac:dyDescent="0.2">
      <c r="A498" s="37"/>
      <c r="L498" s="37"/>
    </row>
    <row r="499" spans="1:12" ht="16.5" customHeight="1" x14ac:dyDescent="0.2">
      <c r="A499" s="37"/>
      <c r="L499" s="37"/>
    </row>
    <row r="500" spans="1:12" ht="16.5" customHeight="1" x14ac:dyDescent="0.2">
      <c r="A500" s="37"/>
      <c r="L500" s="37"/>
    </row>
    <row r="501" spans="1:12" ht="16.5" customHeight="1" x14ac:dyDescent="0.2">
      <c r="A501" s="37"/>
      <c r="L501" s="37"/>
    </row>
    <row r="502" spans="1:12" ht="16.5" customHeight="1" x14ac:dyDescent="0.2">
      <c r="A502" s="37"/>
      <c r="L502" s="37"/>
    </row>
    <row r="503" spans="1:12" ht="16.5" customHeight="1" x14ac:dyDescent="0.2">
      <c r="A503" s="37"/>
      <c r="L503" s="37"/>
    </row>
    <row r="504" spans="1:12" ht="16.5" customHeight="1" x14ac:dyDescent="0.2">
      <c r="A504" s="37"/>
      <c r="L504" s="37"/>
    </row>
    <row r="505" spans="1:12" ht="16.5" customHeight="1" x14ac:dyDescent="0.2">
      <c r="A505" s="37"/>
      <c r="L505" s="37"/>
    </row>
    <row r="506" spans="1:12" ht="16.5" customHeight="1" x14ac:dyDescent="0.2">
      <c r="A506" s="37"/>
      <c r="L506" s="37"/>
    </row>
    <row r="507" spans="1:12" ht="16.5" customHeight="1" x14ac:dyDescent="0.2">
      <c r="A507" s="37"/>
      <c r="L507" s="37"/>
    </row>
    <row r="508" spans="1:12" ht="16.5" customHeight="1" x14ac:dyDescent="0.2">
      <c r="A508" s="37"/>
      <c r="L508" s="37"/>
    </row>
    <row r="509" spans="1:12" ht="16.5" customHeight="1" x14ac:dyDescent="0.2">
      <c r="A509" s="37"/>
      <c r="L509" s="37"/>
    </row>
    <row r="510" spans="1:12" ht="16.5" customHeight="1" x14ac:dyDescent="0.2">
      <c r="A510" s="37"/>
      <c r="L510" s="37"/>
    </row>
    <row r="511" spans="1:12" ht="16.5" customHeight="1" x14ac:dyDescent="0.2">
      <c r="A511" s="37"/>
      <c r="L511" s="37"/>
    </row>
    <row r="512" spans="1:12" ht="16.5" customHeight="1" x14ac:dyDescent="0.2">
      <c r="A512" s="37"/>
      <c r="L512" s="37"/>
    </row>
    <row r="513" spans="1:12" ht="16.5" customHeight="1" x14ac:dyDescent="0.2">
      <c r="A513" s="37"/>
      <c r="L513" s="37"/>
    </row>
    <row r="514" spans="1:12" ht="16.5" customHeight="1" x14ac:dyDescent="0.2">
      <c r="A514" s="37"/>
      <c r="L514" s="37"/>
    </row>
    <row r="515" spans="1:12" ht="16.5" customHeight="1" x14ac:dyDescent="0.2">
      <c r="A515" s="37"/>
      <c r="L515" s="37"/>
    </row>
    <row r="516" spans="1:12" ht="16.5" customHeight="1" x14ac:dyDescent="0.2">
      <c r="A516" s="37"/>
      <c r="L516" s="37"/>
    </row>
    <row r="517" spans="1:12" ht="16.5" customHeight="1" x14ac:dyDescent="0.2">
      <c r="A517" s="37"/>
      <c r="L517" s="37"/>
    </row>
    <row r="518" spans="1:12" ht="16.5" customHeight="1" x14ac:dyDescent="0.2">
      <c r="A518" s="37"/>
      <c r="L518" s="37"/>
    </row>
    <row r="519" spans="1:12" ht="16.5" customHeight="1" x14ac:dyDescent="0.2">
      <c r="A519" s="37"/>
      <c r="L519" s="37"/>
    </row>
    <row r="520" spans="1:12" ht="16.5" customHeight="1" x14ac:dyDescent="0.2">
      <c r="A520" s="37"/>
      <c r="L520" s="37"/>
    </row>
    <row r="521" spans="1:12" ht="16.5" customHeight="1" x14ac:dyDescent="0.2">
      <c r="A521" s="37"/>
      <c r="L521" s="37"/>
    </row>
    <row r="522" spans="1:12" ht="16.5" customHeight="1" x14ac:dyDescent="0.2">
      <c r="A522" s="37"/>
      <c r="L522" s="37"/>
    </row>
    <row r="523" spans="1:12" ht="16.5" customHeight="1" x14ac:dyDescent="0.2">
      <c r="A523" s="37"/>
      <c r="L523" s="37"/>
    </row>
    <row r="524" spans="1:12" ht="16.5" customHeight="1" x14ac:dyDescent="0.2">
      <c r="A524" s="37"/>
      <c r="L524" s="37"/>
    </row>
    <row r="525" spans="1:12" ht="16.5" customHeight="1" x14ac:dyDescent="0.2">
      <c r="A525" s="37"/>
      <c r="L525" s="37"/>
    </row>
    <row r="526" spans="1:12" ht="16.5" customHeight="1" x14ac:dyDescent="0.2">
      <c r="A526" s="37"/>
      <c r="L526" s="37"/>
    </row>
    <row r="527" spans="1:12" ht="16.5" customHeight="1" x14ac:dyDescent="0.2">
      <c r="A527" s="37"/>
      <c r="L527" s="37"/>
    </row>
    <row r="528" spans="1:12" ht="16.5" customHeight="1" x14ac:dyDescent="0.2">
      <c r="A528" s="37"/>
      <c r="L528" s="37"/>
    </row>
    <row r="529" spans="1:12" ht="16.5" customHeight="1" x14ac:dyDescent="0.2">
      <c r="A529" s="37"/>
      <c r="L529" s="37"/>
    </row>
    <row r="530" spans="1:12" ht="16.5" customHeight="1" x14ac:dyDescent="0.2">
      <c r="A530" s="37"/>
      <c r="L530" s="37"/>
    </row>
    <row r="531" spans="1:12" ht="16.5" customHeight="1" x14ac:dyDescent="0.2">
      <c r="A531" s="37"/>
      <c r="L531" s="37"/>
    </row>
    <row r="532" spans="1:12" ht="16.5" customHeight="1" x14ac:dyDescent="0.2">
      <c r="A532" s="37"/>
      <c r="L532" s="37"/>
    </row>
    <row r="533" spans="1:12" ht="16.5" customHeight="1" x14ac:dyDescent="0.2">
      <c r="A533" s="37"/>
      <c r="L533" s="37"/>
    </row>
    <row r="534" spans="1:12" ht="16.5" customHeight="1" x14ac:dyDescent="0.2">
      <c r="A534" s="37"/>
      <c r="L534" s="37"/>
    </row>
    <row r="535" spans="1:12" ht="16.5" customHeight="1" x14ac:dyDescent="0.2">
      <c r="A535" s="37"/>
      <c r="L535" s="37"/>
    </row>
    <row r="536" spans="1:12" ht="16.5" customHeight="1" x14ac:dyDescent="0.2">
      <c r="A536" s="37"/>
      <c r="L536" s="37"/>
    </row>
    <row r="537" spans="1:12" ht="16.5" customHeight="1" x14ac:dyDescent="0.2">
      <c r="A537" s="37"/>
      <c r="L537" s="37"/>
    </row>
    <row r="538" spans="1:12" ht="16.5" customHeight="1" x14ac:dyDescent="0.2">
      <c r="A538" s="37"/>
      <c r="L538" s="37"/>
    </row>
    <row r="539" spans="1:12" ht="16.5" customHeight="1" x14ac:dyDescent="0.2">
      <c r="A539" s="37"/>
      <c r="L539" s="37"/>
    </row>
    <row r="540" spans="1:12" ht="16.5" customHeight="1" x14ac:dyDescent="0.2">
      <c r="A540" s="37"/>
      <c r="L540" s="37"/>
    </row>
    <row r="541" spans="1:12" ht="16.5" customHeight="1" x14ac:dyDescent="0.2">
      <c r="A541" s="37"/>
      <c r="L541" s="37"/>
    </row>
    <row r="542" spans="1:12" ht="16.5" customHeight="1" x14ac:dyDescent="0.2">
      <c r="A542" s="37"/>
      <c r="L542" s="37"/>
    </row>
    <row r="543" spans="1:12" ht="16.5" customHeight="1" x14ac:dyDescent="0.2">
      <c r="A543" s="37"/>
      <c r="L543" s="37"/>
    </row>
    <row r="544" spans="1:12" ht="16.5" customHeight="1" x14ac:dyDescent="0.2">
      <c r="A544" s="37"/>
      <c r="L544" s="37"/>
    </row>
    <row r="545" spans="1:12" ht="16.5" customHeight="1" x14ac:dyDescent="0.2">
      <c r="A545" s="37"/>
      <c r="L545" s="37"/>
    </row>
    <row r="546" spans="1:12" ht="16.5" customHeight="1" x14ac:dyDescent="0.2">
      <c r="A546" s="37"/>
      <c r="L546" s="37"/>
    </row>
    <row r="547" spans="1:12" ht="16.5" customHeight="1" x14ac:dyDescent="0.2">
      <c r="A547" s="37"/>
      <c r="L547" s="37"/>
    </row>
    <row r="548" spans="1:12" ht="16.5" customHeight="1" x14ac:dyDescent="0.2">
      <c r="A548" s="37"/>
      <c r="L548" s="37"/>
    </row>
    <row r="549" spans="1:12" ht="16.5" customHeight="1" x14ac:dyDescent="0.2">
      <c r="A549" s="37"/>
      <c r="L549" s="37"/>
    </row>
    <row r="550" spans="1:12" ht="16.5" customHeight="1" x14ac:dyDescent="0.2">
      <c r="A550" s="37"/>
      <c r="L550" s="37"/>
    </row>
    <row r="551" spans="1:12" ht="16.5" customHeight="1" x14ac:dyDescent="0.2">
      <c r="A551" s="37"/>
      <c r="L551" s="37"/>
    </row>
    <row r="552" spans="1:12" ht="16.5" customHeight="1" x14ac:dyDescent="0.2">
      <c r="A552" s="37"/>
      <c r="L552" s="37"/>
    </row>
    <row r="553" spans="1:12" ht="16.5" customHeight="1" x14ac:dyDescent="0.2">
      <c r="A553" s="37"/>
      <c r="L553" s="37"/>
    </row>
    <row r="554" spans="1:12" ht="16.5" customHeight="1" x14ac:dyDescent="0.2">
      <c r="A554" s="37"/>
      <c r="L554" s="37"/>
    </row>
    <row r="555" spans="1:12" ht="16.5" customHeight="1" x14ac:dyDescent="0.2">
      <c r="A555" s="37"/>
      <c r="L555" s="37"/>
    </row>
    <row r="556" spans="1:12" ht="16.5" customHeight="1" x14ac:dyDescent="0.2">
      <c r="A556" s="37"/>
      <c r="L556" s="37"/>
    </row>
    <row r="557" spans="1:12" ht="16.5" customHeight="1" x14ac:dyDescent="0.2">
      <c r="A557" s="37"/>
      <c r="L557" s="37"/>
    </row>
    <row r="558" spans="1:12" ht="16.5" customHeight="1" x14ac:dyDescent="0.2">
      <c r="A558" s="37"/>
      <c r="L558" s="37"/>
    </row>
    <row r="559" spans="1:12" ht="16.5" customHeight="1" x14ac:dyDescent="0.2">
      <c r="A559" s="37"/>
      <c r="L559" s="37"/>
    </row>
    <row r="560" spans="1:12" ht="16.5" customHeight="1" x14ac:dyDescent="0.2">
      <c r="A560" s="37"/>
      <c r="L560" s="37"/>
    </row>
    <row r="561" spans="1:12" ht="16.5" customHeight="1" x14ac:dyDescent="0.2">
      <c r="A561" s="37"/>
      <c r="L561" s="37"/>
    </row>
    <row r="562" spans="1:12" ht="16.5" customHeight="1" x14ac:dyDescent="0.2">
      <c r="A562" s="37"/>
      <c r="L562" s="37"/>
    </row>
    <row r="563" spans="1:12" ht="16.5" customHeight="1" x14ac:dyDescent="0.2">
      <c r="A563" s="37"/>
      <c r="L563" s="37"/>
    </row>
    <row r="564" spans="1:12" ht="16.5" customHeight="1" x14ac:dyDescent="0.2">
      <c r="A564" s="37"/>
      <c r="L564" s="37"/>
    </row>
    <row r="565" spans="1:12" ht="16.5" customHeight="1" x14ac:dyDescent="0.2">
      <c r="A565" s="37"/>
      <c r="L565" s="37"/>
    </row>
    <row r="566" spans="1:12" ht="16.5" customHeight="1" x14ac:dyDescent="0.2">
      <c r="A566" s="37"/>
      <c r="L566" s="37"/>
    </row>
    <row r="567" spans="1:12" ht="16.5" customHeight="1" x14ac:dyDescent="0.2">
      <c r="A567" s="37"/>
      <c r="L567" s="37"/>
    </row>
    <row r="568" spans="1:12" ht="16.5" customHeight="1" x14ac:dyDescent="0.2">
      <c r="A568" s="37"/>
      <c r="L568" s="37"/>
    </row>
    <row r="569" spans="1:12" ht="16.5" customHeight="1" x14ac:dyDescent="0.2">
      <c r="A569" s="37"/>
      <c r="L569" s="37"/>
    </row>
    <row r="570" spans="1:12" ht="16.5" customHeight="1" x14ac:dyDescent="0.2">
      <c r="A570" s="37"/>
      <c r="L570" s="37"/>
    </row>
    <row r="571" spans="1:12" ht="16.5" customHeight="1" x14ac:dyDescent="0.2">
      <c r="A571" s="37"/>
      <c r="L571" s="37"/>
    </row>
    <row r="572" spans="1:12" ht="16.5" customHeight="1" x14ac:dyDescent="0.2">
      <c r="A572" s="37"/>
      <c r="L572" s="37"/>
    </row>
    <row r="573" spans="1:12" ht="16.5" customHeight="1" x14ac:dyDescent="0.2">
      <c r="A573" s="37"/>
      <c r="L573" s="37"/>
    </row>
    <row r="574" spans="1:12" ht="16.5" customHeight="1" x14ac:dyDescent="0.2">
      <c r="A574" s="37"/>
      <c r="L574" s="37"/>
    </row>
    <row r="575" spans="1:12" ht="16.5" customHeight="1" x14ac:dyDescent="0.2">
      <c r="A575" s="37"/>
      <c r="L575" s="37"/>
    </row>
    <row r="576" spans="1:12" ht="16.5" customHeight="1" x14ac:dyDescent="0.2">
      <c r="A576" s="37"/>
      <c r="L576" s="37"/>
    </row>
    <row r="577" spans="1:12" ht="16.5" customHeight="1" x14ac:dyDescent="0.2">
      <c r="A577" s="37"/>
      <c r="L577" s="37"/>
    </row>
    <row r="578" spans="1:12" ht="16.5" customHeight="1" x14ac:dyDescent="0.2">
      <c r="A578" s="37"/>
      <c r="L578" s="37"/>
    </row>
    <row r="579" spans="1:12" ht="16.5" customHeight="1" x14ac:dyDescent="0.2">
      <c r="A579" s="37"/>
      <c r="L579" s="37"/>
    </row>
    <row r="580" spans="1:12" ht="16.5" customHeight="1" x14ac:dyDescent="0.2">
      <c r="A580" s="37"/>
      <c r="L580" s="37"/>
    </row>
    <row r="581" spans="1:12" ht="16.5" customHeight="1" x14ac:dyDescent="0.2">
      <c r="A581" s="37"/>
      <c r="L581" s="37"/>
    </row>
    <row r="582" spans="1:12" ht="16.5" customHeight="1" x14ac:dyDescent="0.2">
      <c r="A582" s="37"/>
      <c r="L582" s="37"/>
    </row>
    <row r="583" spans="1:12" ht="16.5" customHeight="1" x14ac:dyDescent="0.2">
      <c r="A583" s="37"/>
      <c r="L583" s="37"/>
    </row>
    <row r="584" spans="1:12" ht="16.5" customHeight="1" x14ac:dyDescent="0.2">
      <c r="A584" s="37"/>
      <c r="L584" s="37"/>
    </row>
    <row r="585" spans="1:12" ht="16.5" customHeight="1" x14ac:dyDescent="0.2">
      <c r="A585" s="37"/>
      <c r="L585" s="37"/>
    </row>
    <row r="586" spans="1:12" ht="16.5" customHeight="1" x14ac:dyDescent="0.2">
      <c r="A586" s="37"/>
      <c r="L586" s="37"/>
    </row>
    <row r="587" spans="1:12" ht="16.5" customHeight="1" x14ac:dyDescent="0.2">
      <c r="A587" s="37"/>
      <c r="L587" s="37"/>
    </row>
    <row r="588" spans="1:12" ht="16.5" customHeight="1" x14ac:dyDescent="0.2">
      <c r="A588" s="37"/>
      <c r="L588" s="37"/>
    </row>
    <row r="589" spans="1:12" ht="16.5" customHeight="1" x14ac:dyDescent="0.2">
      <c r="A589" s="37"/>
      <c r="L589" s="37"/>
    </row>
    <row r="590" spans="1:12" ht="16.5" customHeight="1" x14ac:dyDescent="0.2">
      <c r="A590" s="37"/>
      <c r="L590" s="37"/>
    </row>
    <row r="591" spans="1:12" ht="16.5" customHeight="1" x14ac:dyDescent="0.2">
      <c r="A591" s="37"/>
      <c r="L591" s="37"/>
    </row>
    <row r="592" spans="1:12" ht="16.5" customHeight="1" x14ac:dyDescent="0.2">
      <c r="A592" s="37"/>
      <c r="L592" s="37"/>
    </row>
    <row r="593" spans="1:12" ht="16.5" customHeight="1" x14ac:dyDescent="0.2">
      <c r="A593" s="37"/>
      <c r="L593" s="37"/>
    </row>
    <row r="594" spans="1:12" ht="16.5" customHeight="1" x14ac:dyDescent="0.2">
      <c r="A594" s="37"/>
      <c r="L594" s="37"/>
    </row>
    <row r="595" spans="1:12" ht="16.5" customHeight="1" x14ac:dyDescent="0.2">
      <c r="A595" s="37"/>
      <c r="L595" s="37"/>
    </row>
    <row r="596" spans="1:12" ht="16.5" customHeight="1" x14ac:dyDescent="0.2">
      <c r="A596" s="37"/>
      <c r="L596" s="37"/>
    </row>
    <row r="597" spans="1:12" ht="16.5" customHeight="1" x14ac:dyDescent="0.2">
      <c r="A597" s="37"/>
      <c r="L597" s="37"/>
    </row>
    <row r="598" spans="1:12" ht="16.5" customHeight="1" x14ac:dyDescent="0.2">
      <c r="A598" s="37"/>
      <c r="L598" s="37"/>
    </row>
    <row r="599" spans="1:12" ht="16.5" customHeight="1" x14ac:dyDescent="0.2">
      <c r="A599" s="37"/>
      <c r="L599" s="37"/>
    </row>
    <row r="600" spans="1:12" ht="16.5" customHeight="1" x14ac:dyDescent="0.2">
      <c r="A600" s="37"/>
      <c r="L600" s="37"/>
    </row>
    <row r="601" spans="1:12" ht="16.5" customHeight="1" x14ac:dyDescent="0.2">
      <c r="A601" s="37"/>
      <c r="L601" s="37"/>
    </row>
    <row r="602" spans="1:12" ht="16.5" customHeight="1" x14ac:dyDescent="0.2">
      <c r="A602" s="37"/>
      <c r="L602" s="37"/>
    </row>
    <row r="603" spans="1:12" ht="16.5" customHeight="1" x14ac:dyDescent="0.2">
      <c r="A603" s="37"/>
      <c r="L603" s="37"/>
    </row>
    <row r="604" spans="1:12" ht="16.5" customHeight="1" x14ac:dyDescent="0.2">
      <c r="A604" s="37"/>
      <c r="L604" s="37"/>
    </row>
    <row r="605" spans="1:12" ht="16.5" customHeight="1" x14ac:dyDescent="0.2">
      <c r="A605" s="37"/>
      <c r="L605" s="37"/>
    </row>
    <row r="606" spans="1:12" ht="16.5" customHeight="1" x14ac:dyDescent="0.2">
      <c r="A606" s="37"/>
      <c r="L606" s="37"/>
    </row>
    <row r="607" spans="1:12" ht="16.5" customHeight="1" x14ac:dyDescent="0.2">
      <c r="A607" s="37"/>
      <c r="L607" s="37"/>
    </row>
    <row r="608" spans="1:12" ht="16.5" customHeight="1" x14ac:dyDescent="0.2">
      <c r="A608" s="37"/>
      <c r="L608" s="37"/>
    </row>
    <row r="609" spans="1:12" ht="16.5" customHeight="1" x14ac:dyDescent="0.2">
      <c r="A609" s="37"/>
      <c r="L609" s="37"/>
    </row>
    <row r="610" spans="1:12" ht="16.5" customHeight="1" x14ac:dyDescent="0.2">
      <c r="A610" s="37"/>
      <c r="L610" s="37"/>
    </row>
    <row r="611" spans="1:12" ht="16.5" customHeight="1" x14ac:dyDescent="0.2">
      <c r="A611" s="37"/>
      <c r="L611" s="37"/>
    </row>
    <row r="612" spans="1:12" ht="16.5" customHeight="1" x14ac:dyDescent="0.2">
      <c r="A612" s="37"/>
      <c r="L612" s="37"/>
    </row>
    <row r="613" spans="1:12" ht="16.5" customHeight="1" x14ac:dyDescent="0.2">
      <c r="A613" s="37"/>
      <c r="L613" s="37"/>
    </row>
    <row r="614" spans="1:12" ht="16.5" customHeight="1" x14ac:dyDescent="0.2">
      <c r="A614" s="37"/>
      <c r="L614" s="37"/>
    </row>
    <row r="615" spans="1:12" ht="16.5" customHeight="1" x14ac:dyDescent="0.2">
      <c r="A615" s="37"/>
      <c r="L615" s="37"/>
    </row>
    <row r="616" spans="1:12" ht="16.5" customHeight="1" x14ac:dyDescent="0.2">
      <c r="A616" s="37"/>
      <c r="L616" s="37"/>
    </row>
    <row r="617" spans="1:12" ht="16.5" customHeight="1" x14ac:dyDescent="0.2">
      <c r="A617" s="37"/>
      <c r="L617" s="37"/>
    </row>
    <row r="618" spans="1:12" ht="16.5" customHeight="1" x14ac:dyDescent="0.2">
      <c r="A618" s="37"/>
      <c r="L618" s="37"/>
    </row>
    <row r="619" spans="1:12" ht="16.5" customHeight="1" x14ac:dyDescent="0.2">
      <c r="A619" s="37"/>
      <c r="L619" s="37"/>
    </row>
    <row r="620" spans="1:12" ht="16.5" customHeight="1" x14ac:dyDescent="0.2">
      <c r="A620" s="37"/>
      <c r="L620" s="37"/>
    </row>
    <row r="621" spans="1:12" ht="16.5" customHeight="1" x14ac:dyDescent="0.2">
      <c r="A621" s="37"/>
      <c r="L621" s="37"/>
    </row>
    <row r="622" spans="1:12" ht="16.5" customHeight="1" x14ac:dyDescent="0.2">
      <c r="A622" s="37"/>
      <c r="L622" s="37"/>
    </row>
    <row r="623" spans="1:12" ht="16.5" customHeight="1" x14ac:dyDescent="0.2">
      <c r="A623" s="37"/>
      <c r="L623" s="37"/>
    </row>
    <row r="624" spans="1:12" ht="16.5" customHeight="1" x14ac:dyDescent="0.2">
      <c r="A624" s="37"/>
      <c r="L624" s="37"/>
    </row>
    <row r="625" spans="1:12" ht="16.5" customHeight="1" x14ac:dyDescent="0.2">
      <c r="A625" s="37"/>
      <c r="L625" s="37"/>
    </row>
    <row r="626" spans="1:12" ht="16.5" customHeight="1" x14ac:dyDescent="0.2">
      <c r="A626" s="37"/>
      <c r="L626" s="37"/>
    </row>
    <row r="627" spans="1:12" ht="16.5" customHeight="1" x14ac:dyDescent="0.2">
      <c r="A627" s="37"/>
      <c r="L627" s="37"/>
    </row>
    <row r="628" spans="1:12" ht="16.5" customHeight="1" x14ac:dyDescent="0.2">
      <c r="A628" s="37"/>
      <c r="L628" s="37"/>
    </row>
    <row r="629" spans="1:12" ht="16.5" customHeight="1" x14ac:dyDescent="0.2">
      <c r="A629" s="37"/>
      <c r="L629" s="37"/>
    </row>
    <row r="630" spans="1:12" ht="16.5" customHeight="1" x14ac:dyDescent="0.2">
      <c r="A630" s="37"/>
      <c r="L630" s="37"/>
    </row>
    <row r="631" spans="1:12" ht="16.5" customHeight="1" x14ac:dyDescent="0.2">
      <c r="A631" s="37"/>
      <c r="L631" s="37"/>
    </row>
    <row r="632" spans="1:12" ht="16.5" customHeight="1" x14ac:dyDescent="0.2">
      <c r="A632" s="37"/>
      <c r="L632" s="37"/>
    </row>
    <row r="633" spans="1:12" ht="16.5" customHeight="1" x14ac:dyDescent="0.2">
      <c r="A633" s="37"/>
      <c r="L633" s="37"/>
    </row>
    <row r="634" spans="1:12" ht="16.5" customHeight="1" x14ac:dyDescent="0.2">
      <c r="A634" s="37"/>
      <c r="L634" s="37"/>
    </row>
    <row r="635" spans="1:12" ht="16.5" customHeight="1" x14ac:dyDescent="0.2">
      <c r="A635" s="37"/>
      <c r="L635" s="37"/>
    </row>
    <row r="636" spans="1:12" ht="16.5" customHeight="1" x14ac:dyDescent="0.2">
      <c r="A636" s="37"/>
      <c r="L636" s="37"/>
    </row>
    <row r="637" spans="1:12" ht="16.5" customHeight="1" x14ac:dyDescent="0.2">
      <c r="A637" s="37"/>
      <c r="L637" s="37"/>
    </row>
    <row r="638" spans="1:12" ht="16.5" customHeight="1" x14ac:dyDescent="0.2">
      <c r="A638" s="37"/>
      <c r="L638" s="37"/>
    </row>
    <row r="639" spans="1:12" ht="16.5" customHeight="1" x14ac:dyDescent="0.2">
      <c r="A639" s="37"/>
      <c r="L639" s="37"/>
    </row>
    <row r="640" spans="1:12" ht="16.5" customHeight="1" x14ac:dyDescent="0.2">
      <c r="A640" s="37"/>
      <c r="L640" s="37"/>
    </row>
    <row r="641" spans="1:12" ht="16.5" customHeight="1" x14ac:dyDescent="0.2">
      <c r="A641" s="37"/>
      <c r="L641" s="37"/>
    </row>
    <row r="642" spans="1:12" ht="16.5" customHeight="1" x14ac:dyDescent="0.2">
      <c r="A642" s="37"/>
      <c r="L642" s="37"/>
    </row>
    <row r="643" spans="1:12" ht="16.5" customHeight="1" x14ac:dyDescent="0.2">
      <c r="A643" s="37"/>
      <c r="L643" s="37"/>
    </row>
    <row r="644" spans="1:12" ht="16.5" customHeight="1" x14ac:dyDescent="0.2">
      <c r="A644" s="37"/>
      <c r="L644" s="37"/>
    </row>
    <row r="645" spans="1:12" ht="16.5" customHeight="1" x14ac:dyDescent="0.2">
      <c r="A645" s="37"/>
      <c r="L645" s="37"/>
    </row>
    <row r="646" spans="1:12" ht="16.5" customHeight="1" x14ac:dyDescent="0.2">
      <c r="A646" s="37"/>
      <c r="L646" s="37"/>
    </row>
    <row r="647" spans="1:12" ht="16.5" customHeight="1" x14ac:dyDescent="0.2">
      <c r="A647" s="37"/>
      <c r="L647" s="37"/>
    </row>
    <row r="648" spans="1:12" ht="16.5" customHeight="1" x14ac:dyDescent="0.2">
      <c r="A648" s="37"/>
      <c r="L648" s="37"/>
    </row>
    <row r="649" spans="1:12" ht="16.5" customHeight="1" x14ac:dyDescent="0.2">
      <c r="A649" s="37"/>
      <c r="L649" s="37"/>
    </row>
    <row r="650" spans="1:12" ht="16.5" customHeight="1" x14ac:dyDescent="0.2">
      <c r="A650" s="37"/>
      <c r="L650" s="37"/>
    </row>
    <row r="651" spans="1:12" ht="16.5" customHeight="1" x14ac:dyDescent="0.2">
      <c r="A651" s="37"/>
      <c r="L651" s="37"/>
    </row>
    <row r="652" spans="1:12" ht="16.5" customHeight="1" x14ac:dyDescent="0.2">
      <c r="A652" s="37"/>
      <c r="L652" s="37"/>
    </row>
    <row r="653" spans="1:12" ht="16.5" customHeight="1" x14ac:dyDescent="0.2">
      <c r="A653" s="37"/>
      <c r="L653" s="37"/>
    </row>
    <row r="654" spans="1:12" ht="16.5" customHeight="1" x14ac:dyDescent="0.2">
      <c r="A654" s="37"/>
      <c r="L654" s="37"/>
    </row>
    <row r="655" spans="1:12" ht="16.5" customHeight="1" x14ac:dyDescent="0.2">
      <c r="A655" s="37"/>
      <c r="L655" s="37"/>
    </row>
    <row r="656" spans="1:12" ht="16.5" customHeight="1" x14ac:dyDescent="0.2">
      <c r="A656" s="37"/>
      <c r="L656" s="37"/>
    </row>
    <row r="657" spans="1:12" ht="16.5" customHeight="1" x14ac:dyDescent="0.2">
      <c r="A657" s="37"/>
      <c r="L657" s="37"/>
    </row>
    <row r="658" spans="1:12" ht="16.5" customHeight="1" x14ac:dyDescent="0.2">
      <c r="A658" s="37"/>
      <c r="L658" s="37"/>
    </row>
    <row r="659" spans="1:12" ht="16.5" customHeight="1" x14ac:dyDescent="0.2">
      <c r="A659" s="37"/>
      <c r="L659" s="37"/>
    </row>
    <row r="660" spans="1:12" ht="16.5" customHeight="1" x14ac:dyDescent="0.2">
      <c r="A660" s="37"/>
      <c r="L660" s="37"/>
    </row>
    <row r="661" spans="1:12" ht="16.5" customHeight="1" x14ac:dyDescent="0.2">
      <c r="A661" s="37"/>
      <c r="L661" s="37"/>
    </row>
    <row r="662" spans="1:12" ht="16.5" customHeight="1" x14ac:dyDescent="0.2">
      <c r="A662" s="37"/>
      <c r="L662" s="37"/>
    </row>
    <row r="663" spans="1:12" ht="16.5" customHeight="1" x14ac:dyDescent="0.2">
      <c r="A663" s="37"/>
      <c r="L663" s="37"/>
    </row>
    <row r="664" spans="1:12" ht="16.5" customHeight="1" x14ac:dyDescent="0.2">
      <c r="A664" s="37"/>
      <c r="L664" s="37"/>
    </row>
    <row r="665" spans="1:12" ht="16.5" customHeight="1" x14ac:dyDescent="0.2">
      <c r="A665" s="37"/>
      <c r="L665" s="37"/>
    </row>
    <row r="666" spans="1:12" ht="16.5" customHeight="1" x14ac:dyDescent="0.2">
      <c r="A666" s="37"/>
      <c r="L666" s="37"/>
    </row>
    <row r="667" spans="1:12" ht="16.5" customHeight="1" x14ac:dyDescent="0.2">
      <c r="A667" s="37"/>
      <c r="L667" s="37"/>
    </row>
    <row r="668" spans="1:12" ht="16.5" customHeight="1" x14ac:dyDescent="0.2">
      <c r="A668" s="37"/>
      <c r="L668" s="37"/>
    </row>
    <row r="669" spans="1:12" ht="16.5" customHeight="1" x14ac:dyDescent="0.2">
      <c r="A669" s="37"/>
      <c r="L669" s="37"/>
    </row>
    <row r="670" spans="1:12" ht="16.5" customHeight="1" x14ac:dyDescent="0.2">
      <c r="A670" s="37"/>
      <c r="L670" s="37"/>
    </row>
    <row r="671" spans="1:12" ht="16.5" customHeight="1" x14ac:dyDescent="0.2">
      <c r="A671" s="37"/>
      <c r="L671" s="37"/>
    </row>
    <row r="672" spans="1:12" ht="16.5" customHeight="1" x14ac:dyDescent="0.2">
      <c r="A672" s="37"/>
      <c r="L672" s="37"/>
    </row>
    <row r="673" spans="1:12" ht="16.5" customHeight="1" x14ac:dyDescent="0.2">
      <c r="A673" s="37"/>
      <c r="L673" s="37"/>
    </row>
    <row r="674" spans="1:12" ht="16.5" customHeight="1" x14ac:dyDescent="0.2">
      <c r="A674" s="37"/>
      <c r="L674" s="37"/>
    </row>
    <row r="675" spans="1:12" ht="16.5" customHeight="1" x14ac:dyDescent="0.2">
      <c r="A675" s="37"/>
      <c r="L675" s="37"/>
    </row>
    <row r="676" spans="1:12" ht="16.5" customHeight="1" x14ac:dyDescent="0.2">
      <c r="A676" s="37"/>
      <c r="L676" s="37"/>
    </row>
    <row r="677" spans="1:12" ht="16.5" customHeight="1" x14ac:dyDescent="0.2">
      <c r="A677" s="37"/>
      <c r="L677" s="37"/>
    </row>
    <row r="678" spans="1:12" ht="16.5" customHeight="1" x14ac:dyDescent="0.2">
      <c r="A678" s="37"/>
      <c r="L678" s="37"/>
    </row>
    <row r="679" spans="1:12" ht="16.5" customHeight="1" x14ac:dyDescent="0.2">
      <c r="A679" s="37"/>
      <c r="L679" s="37"/>
    </row>
    <row r="680" spans="1:12" ht="16.5" customHeight="1" x14ac:dyDescent="0.2">
      <c r="A680" s="37"/>
      <c r="L680" s="37"/>
    </row>
    <row r="681" spans="1:12" ht="16.5" customHeight="1" x14ac:dyDescent="0.2">
      <c r="A681" s="37"/>
      <c r="L681" s="37"/>
    </row>
    <row r="682" spans="1:12" ht="16.5" customHeight="1" x14ac:dyDescent="0.2">
      <c r="A682" s="37"/>
      <c r="L682" s="37"/>
    </row>
    <row r="683" spans="1:12" ht="16.5" customHeight="1" x14ac:dyDescent="0.2">
      <c r="A683" s="37"/>
      <c r="L683" s="37"/>
    </row>
    <row r="684" spans="1:12" ht="16.5" customHeight="1" x14ac:dyDescent="0.2">
      <c r="A684" s="37"/>
      <c r="L684" s="37"/>
    </row>
    <row r="685" spans="1:12" ht="16.5" customHeight="1" x14ac:dyDescent="0.2">
      <c r="A685" s="37"/>
      <c r="L685" s="37"/>
    </row>
    <row r="686" spans="1:12" ht="16.5" customHeight="1" x14ac:dyDescent="0.2">
      <c r="A686" s="37"/>
      <c r="L686" s="37"/>
    </row>
    <row r="687" spans="1:12" ht="16.5" customHeight="1" x14ac:dyDescent="0.2">
      <c r="A687" s="37"/>
      <c r="L687" s="37"/>
    </row>
    <row r="688" spans="1:12" ht="16.5" customHeight="1" x14ac:dyDescent="0.2">
      <c r="A688" s="37"/>
      <c r="L688" s="37"/>
    </row>
    <row r="689" spans="1:12" ht="16.5" customHeight="1" x14ac:dyDescent="0.2">
      <c r="A689" s="37"/>
      <c r="L689" s="37"/>
    </row>
    <row r="690" spans="1:12" ht="16.5" customHeight="1" x14ac:dyDescent="0.2">
      <c r="A690" s="37"/>
      <c r="L690" s="37"/>
    </row>
    <row r="691" spans="1:12" ht="16.5" customHeight="1" x14ac:dyDescent="0.2">
      <c r="A691" s="37"/>
      <c r="L691" s="37"/>
    </row>
    <row r="692" spans="1:12" ht="16.5" customHeight="1" x14ac:dyDescent="0.2">
      <c r="A692" s="37"/>
      <c r="L692" s="37"/>
    </row>
    <row r="693" spans="1:12" ht="16.5" customHeight="1" x14ac:dyDescent="0.2">
      <c r="A693" s="37"/>
      <c r="L693" s="37"/>
    </row>
    <row r="694" spans="1:12" ht="16.5" customHeight="1" x14ac:dyDescent="0.2">
      <c r="A694" s="37"/>
      <c r="L694" s="37"/>
    </row>
    <row r="695" spans="1:12" ht="16.5" customHeight="1" x14ac:dyDescent="0.2">
      <c r="A695" s="37"/>
      <c r="L695" s="37"/>
    </row>
    <row r="696" spans="1:12" ht="16.5" customHeight="1" x14ac:dyDescent="0.2">
      <c r="A696" s="37"/>
      <c r="L696" s="37"/>
    </row>
    <row r="697" spans="1:12" ht="16.5" customHeight="1" x14ac:dyDescent="0.2">
      <c r="A697" s="37"/>
      <c r="L697" s="37"/>
    </row>
    <row r="698" spans="1:12" ht="16.5" customHeight="1" x14ac:dyDescent="0.2">
      <c r="A698" s="37"/>
      <c r="L698" s="37"/>
    </row>
    <row r="699" spans="1:12" ht="16.5" customHeight="1" x14ac:dyDescent="0.2">
      <c r="A699" s="37"/>
      <c r="L699" s="37"/>
    </row>
    <row r="700" spans="1:12" ht="16.5" customHeight="1" x14ac:dyDescent="0.2">
      <c r="A700" s="37"/>
      <c r="L700" s="37"/>
    </row>
    <row r="701" spans="1:12" ht="16.5" customHeight="1" x14ac:dyDescent="0.2">
      <c r="A701" s="37"/>
      <c r="L701" s="37"/>
    </row>
    <row r="702" spans="1:12" ht="16.5" customHeight="1" x14ac:dyDescent="0.2">
      <c r="A702" s="37"/>
      <c r="L702" s="37"/>
    </row>
    <row r="703" spans="1:12" ht="16.5" customHeight="1" x14ac:dyDescent="0.2">
      <c r="A703" s="37"/>
      <c r="L703" s="37"/>
    </row>
    <row r="704" spans="1:12" ht="16.5" customHeight="1" x14ac:dyDescent="0.2">
      <c r="A704" s="37"/>
      <c r="L704" s="37"/>
    </row>
    <row r="705" spans="1:12" ht="16.5" customHeight="1" x14ac:dyDescent="0.2">
      <c r="A705" s="37"/>
      <c r="L705" s="37"/>
    </row>
    <row r="706" spans="1:12" ht="16.5" customHeight="1" x14ac:dyDescent="0.2">
      <c r="A706" s="37"/>
      <c r="L706" s="37"/>
    </row>
    <row r="707" spans="1:12" ht="16.5" customHeight="1" x14ac:dyDescent="0.2">
      <c r="A707" s="37"/>
      <c r="L707" s="37"/>
    </row>
    <row r="708" spans="1:12" ht="16.5" customHeight="1" x14ac:dyDescent="0.2">
      <c r="A708" s="37"/>
      <c r="L708" s="37"/>
    </row>
    <row r="709" spans="1:12" ht="16.5" customHeight="1" x14ac:dyDescent="0.2">
      <c r="A709" s="37"/>
      <c r="L709" s="37"/>
    </row>
    <row r="710" spans="1:12" ht="16.5" customHeight="1" x14ac:dyDescent="0.2">
      <c r="A710" s="37"/>
      <c r="L710" s="37"/>
    </row>
    <row r="711" spans="1:12" ht="16.5" customHeight="1" x14ac:dyDescent="0.2">
      <c r="A711" s="37"/>
      <c r="L711" s="37"/>
    </row>
    <row r="712" spans="1:12" ht="16.5" customHeight="1" x14ac:dyDescent="0.2">
      <c r="A712" s="37"/>
      <c r="L712" s="37"/>
    </row>
    <row r="713" spans="1:12" ht="16.5" customHeight="1" x14ac:dyDescent="0.2">
      <c r="A713" s="37"/>
      <c r="L713" s="37"/>
    </row>
    <row r="714" spans="1:12" ht="16.5" customHeight="1" x14ac:dyDescent="0.2">
      <c r="A714" s="37"/>
      <c r="L714" s="37"/>
    </row>
    <row r="715" spans="1:12" ht="16.5" customHeight="1" x14ac:dyDescent="0.2">
      <c r="A715" s="37"/>
      <c r="L715" s="37"/>
    </row>
    <row r="716" spans="1:12" ht="16.5" customHeight="1" x14ac:dyDescent="0.2">
      <c r="A716" s="37"/>
      <c r="L716" s="37"/>
    </row>
    <row r="717" spans="1:12" ht="16.5" customHeight="1" x14ac:dyDescent="0.2">
      <c r="A717" s="37"/>
      <c r="L717" s="37"/>
    </row>
    <row r="718" spans="1:12" ht="16.5" customHeight="1" x14ac:dyDescent="0.2">
      <c r="A718" s="37"/>
      <c r="L718" s="37"/>
    </row>
    <row r="719" spans="1:12" ht="16.5" customHeight="1" x14ac:dyDescent="0.2">
      <c r="A719" s="37"/>
      <c r="L719" s="37"/>
    </row>
    <row r="720" spans="1:12" ht="16.5" customHeight="1" x14ac:dyDescent="0.2">
      <c r="A720" s="37"/>
      <c r="L720" s="37"/>
    </row>
    <row r="721" spans="1:12" ht="16.5" customHeight="1" x14ac:dyDescent="0.2">
      <c r="A721" s="37"/>
      <c r="L721" s="37"/>
    </row>
    <row r="722" spans="1:12" ht="16.5" customHeight="1" x14ac:dyDescent="0.2">
      <c r="A722" s="37"/>
      <c r="L722" s="37"/>
    </row>
    <row r="723" spans="1:12" ht="16.5" customHeight="1" x14ac:dyDescent="0.2">
      <c r="A723" s="37"/>
      <c r="L723" s="37"/>
    </row>
    <row r="724" spans="1:12" ht="16.5" customHeight="1" x14ac:dyDescent="0.2">
      <c r="A724" s="37"/>
      <c r="L724" s="37"/>
    </row>
    <row r="725" spans="1:12" ht="16.5" customHeight="1" x14ac:dyDescent="0.2">
      <c r="A725" s="37"/>
      <c r="L725" s="37"/>
    </row>
    <row r="726" spans="1:12" ht="16.5" customHeight="1" x14ac:dyDescent="0.2">
      <c r="A726" s="37"/>
      <c r="L726" s="37"/>
    </row>
    <row r="727" spans="1:12" ht="16.5" customHeight="1" x14ac:dyDescent="0.2">
      <c r="A727" s="37"/>
      <c r="L727" s="37"/>
    </row>
    <row r="728" spans="1:12" ht="16.5" customHeight="1" x14ac:dyDescent="0.2">
      <c r="A728" s="37"/>
      <c r="L728" s="37"/>
    </row>
    <row r="729" spans="1:12" ht="16.5" customHeight="1" x14ac:dyDescent="0.2">
      <c r="A729" s="37"/>
      <c r="L729" s="37"/>
    </row>
    <row r="730" spans="1:12" ht="16.5" customHeight="1" x14ac:dyDescent="0.2">
      <c r="A730" s="37"/>
      <c r="L730" s="37"/>
    </row>
    <row r="731" spans="1:12" ht="16.5" customHeight="1" x14ac:dyDescent="0.2">
      <c r="A731" s="37"/>
      <c r="L731" s="37"/>
    </row>
    <row r="732" spans="1:12" ht="16.5" customHeight="1" x14ac:dyDescent="0.2">
      <c r="A732" s="37"/>
      <c r="L732" s="37"/>
    </row>
    <row r="733" spans="1:12" ht="16.5" customHeight="1" x14ac:dyDescent="0.2">
      <c r="A733" s="37"/>
      <c r="L733" s="37"/>
    </row>
    <row r="734" spans="1:12" ht="16.5" customHeight="1" x14ac:dyDescent="0.2">
      <c r="A734" s="37"/>
      <c r="L734" s="37"/>
    </row>
    <row r="735" spans="1:12" ht="16.5" customHeight="1" x14ac:dyDescent="0.2">
      <c r="A735" s="37"/>
      <c r="L735" s="37"/>
    </row>
    <row r="736" spans="1:12" ht="16.5" customHeight="1" x14ac:dyDescent="0.2">
      <c r="A736" s="37"/>
      <c r="L736" s="37"/>
    </row>
    <row r="737" spans="1:12" ht="16.5" customHeight="1" x14ac:dyDescent="0.2">
      <c r="A737" s="37"/>
      <c r="L737" s="37"/>
    </row>
    <row r="738" spans="1:12" ht="16.5" customHeight="1" x14ac:dyDescent="0.2">
      <c r="A738" s="37"/>
      <c r="L738" s="37"/>
    </row>
    <row r="739" spans="1:12" ht="16.5" customHeight="1" x14ac:dyDescent="0.2">
      <c r="A739" s="37"/>
      <c r="L739" s="37"/>
    </row>
    <row r="740" spans="1:12" ht="16.5" customHeight="1" x14ac:dyDescent="0.2">
      <c r="A740" s="37"/>
      <c r="L740" s="37"/>
    </row>
    <row r="741" spans="1:12" ht="16.5" customHeight="1" x14ac:dyDescent="0.2">
      <c r="A741" s="37"/>
      <c r="L741" s="37"/>
    </row>
    <row r="742" spans="1:12" ht="16.5" customHeight="1" x14ac:dyDescent="0.2">
      <c r="A742" s="37"/>
      <c r="L742" s="37"/>
    </row>
    <row r="743" spans="1:12" ht="16.5" customHeight="1" x14ac:dyDescent="0.2">
      <c r="A743" s="37"/>
      <c r="L743" s="37"/>
    </row>
    <row r="744" spans="1:12" ht="16.5" customHeight="1" x14ac:dyDescent="0.2">
      <c r="A744" s="37"/>
      <c r="L744" s="37"/>
    </row>
    <row r="745" spans="1:12" ht="16.5" customHeight="1" x14ac:dyDescent="0.2">
      <c r="A745" s="37"/>
      <c r="L745" s="37"/>
    </row>
    <row r="746" spans="1:12" ht="16.5" customHeight="1" x14ac:dyDescent="0.2">
      <c r="A746" s="37"/>
      <c r="L746" s="37"/>
    </row>
    <row r="747" spans="1:12" ht="16.5" customHeight="1" x14ac:dyDescent="0.2">
      <c r="A747" s="37"/>
      <c r="L747" s="37"/>
    </row>
    <row r="748" spans="1:12" ht="16.5" customHeight="1" x14ac:dyDescent="0.2">
      <c r="A748" s="37"/>
      <c r="L748" s="37"/>
    </row>
    <row r="749" spans="1:12" ht="16.5" customHeight="1" x14ac:dyDescent="0.2">
      <c r="A749" s="37"/>
      <c r="L749" s="37"/>
    </row>
    <row r="750" spans="1:12" ht="16.5" customHeight="1" x14ac:dyDescent="0.2">
      <c r="A750" s="37"/>
      <c r="L750" s="37"/>
    </row>
    <row r="751" spans="1:12" ht="16.5" customHeight="1" x14ac:dyDescent="0.2">
      <c r="A751" s="37"/>
      <c r="L751" s="37"/>
    </row>
    <row r="752" spans="1:12" ht="16.5" customHeight="1" x14ac:dyDescent="0.2">
      <c r="A752" s="37"/>
      <c r="L752" s="37"/>
    </row>
    <row r="753" spans="1:12" ht="16.5" customHeight="1" x14ac:dyDescent="0.2">
      <c r="A753" s="37"/>
      <c r="L753" s="37"/>
    </row>
    <row r="754" spans="1:12" ht="16.5" customHeight="1" x14ac:dyDescent="0.2">
      <c r="A754" s="37"/>
      <c r="L754" s="37"/>
    </row>
    <row r="755" spans="1:12" ht="16.5" customHeight="1" x14ac:dyDescent="0.2">
      <c r="A755" s="37"/>
      <c r="L755" s="37"/>
    </row>
    <row r="756" spans="1:12" ht="16.5" customHeight="1" x14ac:dyDescent="0.2">
      <c r="A756" s="37"/>
      <c r="L756" s="37"/>
    </row>
    <row r="757" spans="1:12" ht="16.5" customHeight="1" x14ac:dyDescent="0.2">
      <c r="A757" s="37"/>
      <c r="L757" s="37"/>
    </row>
    <row r="758" spans="1:12" ht="16.5" customHeight="1" x14ac:dyDescent="0.2">
      <c r="A758" s="37"/>
      <c r="L758" s="37"/>
    </row>
    <row r="759" spans="1:12" ht="16.5" customHeight="1" x14ac:dyDescent="0.2">
      <c r="A759" s="37"/>
      <c r="L759" s="37"/>
    </row>
    <row r="760" spans="1:12" ht="16.5" customHeight="1" x14ac:dyDescent="0.2">
      <c r="A760" s="37"/>
      <c r="L760" s="37"/>
    </row>
    <row r="761" spans="1:12" ht="16.5" customHeight="1" x14ac:dyDescent="0.2">
      <c r="A761" s="37"/>
      <c r="L761" s="37"/>
    </row>
    <row r="762" spans="1:12" ht="16.5" customHeight="1" x14ac:dyDescent="0.2">
      <c r="A762" s="37"/>
      <c r="L762" s="37"/>
    </row>
    <row r="763" spans="1:12" ht="16.5" customHeight="1" x14ac:dyDescent="0.2">
      <c r="A763" s="37"/>
      <c r="L763" s="37"/>
    </row>
    <row r="764" spans="1:12" ht="16.5" customHeight="1" x14ac:dyDescent="0.2">
      <c r="A764" s="37"/>
      <c r="L764" s="37"/>
    </row>
    <row r="765" spans="1:12" ht="16.5" customHeight="1" x14ac:dyDescent="0.2">
      <c r="A765" s="37"/>
      <c r="L765" s="37"/>
    </row>
    <row r="766" spans="1:12" ht="16.5" customHeight="1" x14ac:dyDescent="0.2">
      <c r="A766" s="37"/>
      <c r="L766" s="37"/>
    </row>
    <row r="767" spans="1:12" ht="16.5" customHeight="1" x14ac:dyDescent="0.2">
      <c r="A767" s="37"/>
      <c r="L767" s="37"/>
    </row>
    <row r="768" spans="1:12" ht="16.5" customHeight="1" x14ac:dyDescent="0.2">
      <c r="A768" s="37"/>
      <c r="L768" s="37"/>
    </row>
    <row r="769" spans="1:12" ht="16.5" customHeight="1" x14ac:dyDescent="0.2">
      <c r="A769" s="37"/>
      <c r="L769" s="37"/>
    </row>
    <row r="770" spans="1:12" ht="16.5" customHeight="1" x14ac:dyDescent="0.2">
      <c r="A770" s="37"/>
      <c r="L770" s="37"/>
    </row>
    <row r="771" spans="1:12" ht="16.5" customHeight="1" x14ac:dyDescent="0.2">
      <c r="A771" s="37"/>
      <c r="L771" s="37"/>
    </row>
    <row r="772" spans="1:12" ht="16.5" customHeight="1" x14ac:dyDescent="0.2">
      <c r="A772" s="37"/>
      <c r="L772" s="37"/>
    </row>
    <row r="773" spans="1:12" ht="16.5" customHeight="1" x14ac:dyDescent="0.2">
      <c r="A773" s="37"/>
      <c r="L773" s="37"/>
    </row>
    <row r="774" spans="1:12" ht="16.5" customHeight="1" x14ac:dyDescent="0.2">
      <c r="A774" s="37"/>
      <c r="L774" s="37"/>
    </row>
    <row r="775" spans="1:12" ht="16.5" customHeight="1" x14ac:dyDescent="0.2">
      <c r="A775" s="37"/>
      <c r="L775" s="37"/>
    </row>
    <row r="776" spans="1:12" ht="16.5" customHeight="1" x14ac:dyDescent="0.2">
      <c r="A776" s="37"/>
      <c r="L776" s="37"/>
    </row>
    <row r="777" spans="1:12" ht="16.5" customHeight="1" x14ac:dyDescent="0.2">
      <c r="A777" s="37"/>
      <c r="L777" s="37"/>
    </row>
    <row r="778" spans="1:12" ht="16.5" customHeight="1" x14ac:dyDescent="0.2">
      <c r="A778" s="37"/>
      <c r="L778" s="37"/>
    </row>
    <row r="779" spans="1:12" ht="16.5" customHeight="1" x14ac:dyDescent="0.2">
      <c r="A779" s="37"/>
      <c r="L779" s="37"/>
    </row>
    <row r="780" spans="1:12" ht="16.5" customHeight="1" x14ac:dyDescent="0.2">
      <c r="A780" s="37"/>
      <c r="L780" s="37"/>
    </row>
    <row r="781" spans="1:12" ht="16.5" customHeight="1" x14ac:dyDescent="0.2">
      <c r="A781" s="37"/>
      <c r="L781" s="37"/>
    </row>
    <row r="782" spans="1:12" ht="16.5" customHeight="1" x14ac:dyDescent="0.2">
      <c r="A782" s="37"/>
      <c r="L782" s="37"/>
    </row>
    <row r="783" spans="1:12" ht="16.5" customHeight="1" x14ac:dyDescent="0.2">
      <c r="A783" s="37"/>
      <c r="L783" s="37"/>
    </row>
    <row r="784" spans="1:12" ht="16.5" customHeight="1" x14ac:dyDescent="0.2">
      <c r="A784" s="37"/>
      <c r="L784" s="37"/>
    </row>
    <row r="785" spans="1:12" ht="16.5" customHeight="1" x14ac:dyDescent="0.2">
      <c r="A785" s="37"/>
      <c r="L785" s="37"/>
    </row>
    <row r="786" spans="1:12" ht="16.5" customHeight="1" x14ac:dyDescent="0.2">
      <c r="A786" s="37"/>
      <c r="L786" s="37"/>
    </row>
    <row r="787" spans="1:12" ht="16.5" customHeight="1" x14ac:dyDescent="0.2">
      <c r="A787" s="37"/>
      <c r="L787" s="37"/>
    </row>
    <row r="788" spans="1:12" ht="16.5" customHeight="1" x14ac:dyDescent="0.2">
      <c r="A788" s="37"/>
      <c r="L788" s="37"/>
    </row>
    <row r="789" spans="1:12" ht="16.5" customHeight="1" x14ac:dyDescent="0.2">
      <c r="A789" s="37"/>
      <c r="L789" s="37"/>
    </row>
    <row r="790" spans="1:12" ht="16.5" customHeight="1" x14ac:dyDescent="0.2">
      <c r="A790" s="37"/>
      <c r="L790" s="37"/>
    </row>
    <row r="791" spans="1:12" ht="16.5" customHeight="1" x14ac:dyDescent="0.2">
      <c r="A791" s="37"/>
      <c r="L791" s="37"/>
    </row>
    <row r="792" spans="1:12" ht="16.5" customHeight="1" x14ac:dyDescent="0.2">
      <c r="A792" s="37"/>
      <c r="L792" s="37"/>
    </row>
    <row r="793" spans="1:12" ht="16.5" customHeight="1" x14ac:dyDescent="0.2">
      <c r="A793" s="37"/>
      <c r="L793" s="37"/>
    </row>
    <row r="794" spans="1:12" ht="16.5" customHeight="1" x14ac:dyDescent="0.2">
      <c r="A794" s="37"/>
      <c r="L794" s="37"/>
    </row>
    <row r="795" spans="1:12" ht="16.5" customHeight="1" x14ac:dyDescent="0.2">
      <c r="A795" s="37"/>
      <c r="L795" s="37"/>
    </row>
    <row r="796" spans="1:12" ht="16.5" customHeight="1" x14ac:dyDescent="0.2">
      <c r="A796" s="37"/>
      <c r="L796" s="37"/>
    </row>
    <row r="797" spans="1:12" ht="16.5" customHeight="1" x14ac:dyDescent="0.2">
      <c r="A797" s="37"/>
      <c r="L797" s="37"/>
    </row>
    <row r="798" spans="1:12" ht="16.5" customHeight="1" x14ac:dyDescent="0.2">
      <c r="A798" s="37"/>
      <c r="L798" s="37"/>
    </row>
    <row r="799" spans="1:12" ht="16.5" customHeight="1" x14ac:dyDescent="0.2">
      <c r="A799" s="37"/>
      <c r="L799" s="37"/>
    </row>
    <row r="800" spans="1:12" ht="16.5" customHeight="1" x14ac:dyDescent="0.2">
      <c r="A800" s="37"/>
      <c r="L800" s="37"/>
    </row>
    <row r="801" spans="1:12" ht="16.5" customHeight="1" x14ac:dyDescent="0.2">
      <c r="A801" s="37"/>
      <c r="L801" s="37"/>
    </row>
    <row r="802" spans="1:12" ht="16.5" customHeight="1" x14ac:dyDescent="0.2">
      <c r="A802" s="37"/>
      <c r="L802" s="37"/>
    </row>
    <row r="803" spans="1:12" ht="16.5" customHeight="1" x14ac:dyDescent="0.2">
      <c r="A803" s="37"/>
      <c r="L803" s="37"/>
    </row>
    <row r="804" spans="1:12" ht="16.5" customHeight="1" x14ac:dyDescent="0.2">
      <c r="A804" s="37"/>
      <c r="L804" s="37"/>
    </row>
    <row r="805" spans="1:12" ht="16.5" customHeight="1" x14ac:dyDescent="0.2">
      <c r="A805" s="37"/>
      <c r="L805" s="37"/>
    </row>
    <row r="806" spans="1:12" ht="16.5" customHeight="1" x14ac:dyDescent="0.2">
      <c r="A806" s="37"/>
      <c r="L806" s="37"/>
    </row>
    <row r="807" spans="1:12" ht="16.5" customHeight="1" x14ac:dyDescent="0.2">
      <c r="A807" s="37"/>
      <c r="L807" s="37"/>
    </row>
    <row r="808" spans="1:12" ht="16.5" customHeight="1" x14ac:dyDescent="0.2">
      <c r="A808" s="37"/>
      <c r="L808" s="37"/>
    </row>
    <row r="809" spans="1:12" ht="16.5" customHeight="1" x14ac:dyDescent="0.2">
      <c r="A809" s="37"/>
      <c r="L809" s="37"/>
    </row>
    <row r="810" spans="1:12" ht="16.5" customHeight="1" x14ac:dyDescent="0.2">
      <c r="A810" s="37"/>
      <c r="L810" s="37"/>
    </row>
    <row r="811" spans="1:12" ht="16.5" customHeight="1" x14ac:dyDescent="0.2">
      <c r="A811" s="37"/>
      <c r="L811" s="37"/>
    </row>
    <row r="812" spans="1:12" ht="16.5" customHeight="1" x14ac:dyDescent="0.2">
      <c r="A812" s="37"/>
      <c r="L812" s="37"/>
    </row>
    <row r="813" spans="1:12" ht="16.5" customHeight="1" x14ac:dyDescent="0.2">
      <c r="A813" s="37"/>
      <c r="L813" s="37"/>
    </row>
    <row r="814" spans="1:12" ht="16.5" customHeight="1" x14ac:dyDescent="0.2">
      <c r="A814" s="37"/>
      <c r="L814" s="37"/>
    </row>
    <row r="815" spans="1:12" ht="16.5" customHeight="1" x14ac:dyDescent="0.2">
      <c r="A815" s="37"/>
      <c r="L815" s="37"/>
    </row>
    <row r="816" spans="1:12" ht="16.5" customHeight="1" x14ac:dyDescent="0.2">
      <c r="A816" s="37"/>
      <c r="L816" s="37"/>
    </row>
    <row r="817" spans="1:12" ht="16.5" customHeight="1" x14ac:dyDescent="0.2">
      <c r="A817" s="37"/>
      <c r="L817" s="37"/>
    </row>
    <row r="818" spans="1:12" ht="16.5" customHeight="1" x14ac:dyDescent="0.2">
      <c r="A818" s="37"/>
      <c r="L818" s="37"/>
    </row>
    <row r="819" spans="1:12" ht="16.5" customHeight="1" x14ac:dyDescent="0.2">
      <c r="A819" s="37"/>
      <c r="L819" s="37"/>
    </row>
    <row r="820" spans="1:12" ht="16.5" customHeight="1" x14ac:dyDescent="0.2">
      <c r="A820" s="37"/>
      <c r="L820" s="37"/>
    </row>
    <row r="821" spans="1:12" ht="16.5" customHeight="1" x14ac:dyDescent="0.2">
      <c r="A821" s="37"/>
      <c r="L821" s="37"/>
    </row>
    <row r="822" spans="1:12" ht="16.5" customHeight="1" x14ac:dyDescent="0.2">
      <c r="A822" s="37"/>
      <c r="L822" s="37"/>
    </row>
    <row r="823" spans="1:12" ht="16.5" customHeight="1" x14ac:dyDescent="0.2">
      <c r="A823" s="37"/>
      <c r="L823" s="37"/>
    </row>
    <row r="824" spans="1:12" ht="16.5" customHeight="1" x14ac:dyDescent="0.2">
      <c r="A824" s="37"/>
      <c r="L824" s="37"/>
    </row>
    <row r="825" spans="1:12" ht="16.5" customHeight="1" x14ac:dyDescent="0.2">
      <c r="A825" s="37"/>
      <c r="L825" s="37"/>
    </row>
    <row r="826" spans="1:12" ht="16.5" customHeight="1" x14ac:dyDescent="0.2">
      <c r="A826" s="37"/>
      <c r="L826" s="37"/>
    </row>
    <row r="827" spans="1:12" ht="16.5" customHeight="1" x14ac:dyDescent="0.2">
      <c r="A827" s="37"/>
      <c r="L827" s="37"/>
    </row>
    <row r="828" spans="1:12" ht="16.5" customHeight="1" x14ac:dyDescent="0.2">
      <c r="A828" s="37"/>
      <c r="L828" s="37"/>
    </row>
    <row r="829" spans="1:12" ht="16.5" customHeight="1" x14ac:dyDescent="0.2">
      <c r="A829" s="37"/>
      <c r="L829" s="37"/>
    </row>
    <row r="830" spans="1:12" ht="16.5" customHeight="1" x14ac:dyDescent="0.2">
      <c r="A830" s="37"/>
      <c r="L830" s="37"/>
    </row>
    <row r="831" spans="1:12" ht="16.5" customHeight="1" x14ac:dyDescent="0.2">
      <c r="A831" s="37"/>
      <c r="L831" s="37"/>
    </row>
    <row r="832" spans="1:12" ht="16.5" customHeight="1" x14ac:dyDescent="0.2">
      <c r="A832" s="37"/>
      <c r="L832" s="37"/>
    </row>
    <row r="833" spans="1:12" ht="16.5" customHeight="1" x14ac:dyDescent="0.2">
      <c r="A833" s="37"/>
      <c r="L833" s="37"/>
    </row>
    <row r="834" spans="1:12" ht="16.5" customHeight="1" x14ac:dyDescent="0.2">
      <c r="A834" s="37"/>
      <c r="L834" s="37"/>
    </row>
    <row r="835" spans="1:12" ht="16.5" customHeight="1" x14ac:dyDescent="0.2">
      <c r="A835" s="37"/>
      <c r="L835" s="37"/>
    </row>
    <row r="836" spans="1:12" ht="16.5" customHeight="1" x14ac:dyDescent="0.2">
      <c r="A836" s="37"/>
      <c r="L836" s="37"/>
    </row>
    <row r="837" spans="1:12" ht="16.5" customHeight="1" x14ac:dyDescent="0.2">
      <c r="A837" s="37"/>
      <c r="L837" s="37"/>
    </row>
    <row r="838" spans="1:12" ht="16.5" customHeight="1" x14ac:dyDescent="0.2">
      <c r="A838" s="37"/>
      <c r="L838" s="37"/>
    </row>
    <row r="839" spans="1:12" ht="16.5" customHeight="1" x14ac:dyDescent="0.2">
      <c r="A839" s="37"/>
      <c r="L839" s="37"/>
    </row>
    <row r="840" spans="1:12" ht="16.5" customHeight="1" x14ac:dyDescent="0.2">
      <c r="A840" s="37"/>
      <c r="L840" s="37"/>
    </row>
    <row r="841" spans="1:12" ht="16.5" customHeight="1" x14ac:dyDescent="0.2">
      <c r="A841" s="37"/>
      <c r="L841" s="37"/>
    </row>
    <row r="842" spans="1:12" ht="16.5" customHeight="1" x14ac:dyDescent="0.2">
      <c r="A842" s="37"/>
      <c r="L842" s="37"/>
    </row>
    <row r="843" spans="1:12" ht="16.5" customHeight="1" x14ac:dyDescent="0.2">
      <c r="A843" s="37"/>
      <c r="L843" s="37"/>
    </row>
    <row r="844" spans="1:12" ht="16.5" customHeight="1" x14ac:dyDescent="0.2">
      <c r="A844" s="37"/>
      <c r="L844" s="37"/>
    </row>
    <row r="845" spans="1:12" ht="16.5" customHeight="1" x14ac:dyDescent="0.2">
      <c r="A845" s="37"/>
      <c r="L845" s="37"/>
    </row>
    <row r="846" spans="1:12" ht="16.5" customHeight="1" x14ac:dyDescent="0.2">
      <c r="A846" s="37"/>
      <c r="L846" s="37"/>
    </row>
    <row r="847" spans="1:12" ht="16.5" customHeight="1" x14ac:dyDescent="0.2">
      <c r="A847" s="37"/>
      <c r="L847" s="37"/>
    </row>
    <row r="848" spans="1:12" ht="16.5" customHeight="1" x14ac:dyDescent="0.2">
      <c r="A848" s="37"/>
      <c r="L848" s="37"/>
    </row>
    <row r="849" spans="1:12" ht="16.5" customHeight="1" x14ac:dyDescent="0.2">
      <c r="A849" s="37"/>
      <c r="L849" s="37"/>
    </row>
    <row r="850" spans="1:12" ht="16.5" customHeight="1" x14ac:dyDescent="0.2">
      <c r="A850" s="37"/>
      <c r="L850" s="37"/>
    </row>
    <row r="851" spans="1:12" ht="16.5" customHeight="1" x14ac:dyDescent="0.2">
      <c r="A851" s="37"/>
      <c r="L851" s="37"/>
    </row>
    <row r="852" spans="1:12" ht="16.5" customHeight="1" x14ac:dyDescent="0.2">
      <c r="A852" s="37"/>
      <c r="L852" s="37"/>
    </row>
    <row r="853" spans="1:12" ht="16.5" customHeight="1" x14ac:dyDescent="0.2">
      <c r="A853" s="37"/>
      <c r="L853" s="37"/>
    </row>
    <row r="854" spans="1:12" ht="16.5" customHeight="1" x14ac:dyDescent="0.2">
      <c r="A854" s="37"/>
      <c r="L854" s="37"/>
    </row>
    <row r="855" spans="1:12" ht="16.5" customHeight="1" x14ac:dyDescent="0.2">
      <c r="A855" s="37"/>
      <c r="L855" s="37"/>
    </row>
    <row r="856" spans="1:12" ht="16.5" customHeight="1" x14ac:dyDescent="0.2">
      <c r="A856" s="37"/>
      <c r="L856" s="37"/>
    </row>
    <row r="857" spans="1:12" ht="16.5" customHeight="1" x14ac:dyDescent="0.2">
      <c r="A857" s="37"/>
      <c r="L857" s="37"/>
    </row>
    <row r="858" spans="1:12" ht="16.5" customHeight="1" x14ac:dyDescent="0.2">
      <c r="A858" s="37"/>
      <c r="L858" s="37"/>
    </row>
    <row r="859" spans="1:12" ht="16.5" customHeight="1" x14ac:dyDescent="0.2">
      <c r="A859" s="37"/>
      <c r="L859" s="37"/>
    </row>
    <row r="860" spans="1:12" ht="16.5" customHeight="1" x14ac:dyDescent="0.2">
      <c r="A860" s="37"/>
      <c r="L860" s="37"/>
    </row>
    <row r="861" spans="1:12" ht="16.5" customHeight="1" x14ac:dyDescent="0.2">
      <c r="A861" s="37"/>
      <c r="L861" s="37"/>
    </row>
    <row r="862" spans="1:12" ht="16.5" customHeight="1" x14ac:dyDescent="0.2">
      <c r="A862" s="37"/>
      <c r="L862" s="37"/>
    </row>
    <row r="863" spans="1:12" ht="16.5" customHeight="1" x14ac:dyDescent="0.2">
      <c r="A863" s="37"/>
      <c r="L863" s="37"/>
    </row>
    <row r="864" spans="1:12" ht="16.5" customHeight="1" x14ac:dyDescent="0.2">
      <c r="A864" s="37"/>
      <c r="L864" s="37"/>
    </row>
    <row r="865" spans="1:12" ht="16.5" customHeight="1" x14ac:dyDescent="0.2">
      <c r="A865" s="37"/>
      <c r="L865" s="37"/>
    </row>
    <row r="866" spans="1:12" ht="16.5" customHeight="1" x14ac:dyDescent="0.2">
      <c r="A866" s="37"/>
      <c r="L866" s="37"/>
    </row>
    <row r="867" spans="1:12" ht="16.5" customHeight="1" x14ac:dyDescent="0.2">
      <c r="A867" s="37"/>
      <c r="L867" s="37"/>
    </row>
    <row r="868" spans="1:12" ht="16.5" customHeight="1" x14ac:dyDescent="0.2">
      <c r="A868" s="37"/>
      <c r="L868" s="37"/>
    </row>
    <row r="869" spans="1:12" ht="16.5" customHeight="1" x14ac:dyDescent="0.2">
      <c r="A869" s="37"/>
      <c r="L869" s="37"/>
    </row>
    <row r="870" spans="1:12" ht="16.5" customHeight="1" x14ac:dyDescent="0.2">
      <c r="A870" s="37"/>
      <c r="L870" s="37"/>
    </row>
    <row r="871" spans="1:12" ht="16.5" customHeight="1" x14ac:dyDescent="0.2">
      <c r="A871" s="37"/>
      <c r="L871" s="37"/>
    </row>
    <row r="872" spans="1:12" ht="16.5" customHeight="1" x14ac:dyDescent="0.2">
      <c r="A872" s="37"/>
      <c r="L872" s="37"/>
    </row>
    <row r="873" spans="1:12" ht="16.5" customHeight="1" x14ac:dyDescent="0.2">
      <c r="A873" s="37"/>
      <c r="L873" s="37"/>
    </row>
    <row r="874" spans="1:12" ht="16.5" customHeight="1" x14ac:dyDescent="0.2">
      <c r="A874" s="37"/>
      <c r="L874" s="37"/>
    </row>
    <row r="875" spans="1:12" ht="16.5" customHeight="1" x14ac:dyDescent="0.2">
      <c r="A875" s="37"/>
      <c r="L875" s="37"/>
    </row>
    <row r="876" spans="1:12" ht="16.5" customHeight="1" x14ac:dyDescent="0.2">
      <c r="A876" s="37"/>
      <c r="L876" s="37"/>
    </row>
    <row r="877" spans="1:12" ht="16.5" customHeight="1" x14ac:dyDescent="0.2">
      <c r="A877" s="37"/>
      <c r="L877" s="37"/>
    </row>
    <row r="878" spans="1:12" ht="16.5" customHeight="1" x14ac:dyDescent="0.2">
      <c r="A878" s="37"/>
      <c r="L878" s="37"/>
    </row>
    <row r="879" spans="1:12" ht="16.5" customHeight="1" x14ac:dyDescent="0.2">
      <c r="A879" s="37"/>
      <c r="L879" s="37"/>
    </row>
    <row r="880" spans="1:12" ht="16.5" customHeight="1" x14ac:dyDescent="0.2">
      <c r="A880" s="37"/>
      <c r="L880" s="37"/>
    </row>
    <row r="881" spans="1:12" ht="16.5" customHeight="1" x14ac:dyDescent="0.2">
      <c r="A881" s="37"/>
      <c r="L881" s="37"/>
    </row>
    <row r="882" spans="1:12" ht="16.5" customHeight="1" x14ac:dyDescent="0.2">
      <c r="A882" s="37"/>
      <c r="L882" s="37"/>
    </row>
    <row r="883" spans="1:12" ht="16.5" customHeight="1" x14ac:dyDescent="0.2">
      <c r="A883" s="37"/>
      <c r="L883" s="37"/>
    </row>
    <row r="884" spans="1:12" ht="16.5" customHeight="1" x14ac:dyDescent="0.2">
      <c r="A884" s="37"/>
      <c r="L884" s="37"/>
    </row>
    <row r="885" spans="1:12" ht="16.5" customHeight="1" x14ac:dyDescent="0.2">
      <c r="A885" s="37"/>
      <c r="L885" s="37"/>
    </row>
    <row r="886" spans="1:12" ht="16.5" customHeight="1" x14ac:dyDescent="0.2">
      <c r="A886" s="37"/>
      <c r="L886" s="37"/>
    </row>
    <row r="887" spans="1:12" ht="16.5" customHeight="1" x14ac:dyDescent="0.2">
      <c r="A887" s="37"/>
      <c r="L887" s="37"/>
    </row>
    <row r="888" spans="1:12" ht="16.5" customHeight="1" x14ac:dyDescent="0.2">
      <c r="A888" s="37"/>
      <c r="L888" s="37"/>
    </row>
    <row r="889" spans="1:12" ht="16.5" customHeight="1" x14ac:dyDescent="0.2">
      <c r="A889" s="37"/>
      <c r="L889" s="37"/>
    </row>
    <row r="890" spans="1:12" ht="16.5" customHeight="1" x14ac:dyDescent="0.2">
      <c r="A890" s="37"/>
      <c r="L890" s="37"/>
    </row>
    <row r="891" spans="1:12" ht="16.5" customHeight="1" x14ac:dyDescent="0.2">
      <c r="A891" s="37"/>
      <c r="L891" s="37"/>
    </row>
    <row r="892" spans="1:12" ht="16.5" customHeight="1" x14ac:dyDescent="0.2">
      <c r="A892" s="37"/>
      <c r="L892" s="37"/>
    </row>
    <row r="893" spans="1:12" ht="16.5" customHeight="1" x14ac:dyDescent="0.2">
      <c r="A893" s="37"/>
      <c r="L893" s="37"/>
    </row>
    <row r="894" spans="1:12" ht="16.5" customHeight="1" x14ac:dyDescent="0.2">
      <c r="A894" s="37"/>
      <c r="L894" s="37"/>
    </row>
    <row r="895" spans="1:12" ht="16.5" customHeight="1" x14ac:dyDescent="0.2">
      <c r="A895" s="37"/>
      <c r="L895" s="37"/>
    </row>
    <row r="896" spans="1:12" ht="16.5" customHeight="1" x14ac:dyDescent="0.2">
      <c r="A896" s="37"/>
      <c r="L896" s="37"/>
    </row>
    <row r="897" spans="1:12" ht="16.5" customHeight="1" x14ac:dyDescent="0.2">
      <c r="A897" s="37"/>
      <c r="L897" s="37"/>
    </row>
    <row r="898" spans="1:12" ht="16.5" customHeight="1" x14ac:dyDescent="0.2">
      <c r="A898" s="37"/>
      <c r="L898" s="37"/>
    </row>
    <row r="899" spans="1:12" ht="16.5" customHeight="1" x14ac:dyDescent="0.2">
      <c r="A899" s="37"/>
      <c r="L899" s="37"/>
    </row>
    <row r="900" spans="1:12" ht="16.5" customHeight="1" x14ac:dyDescent="0.2">
      <c r="A900" s="37"/>
      <c r="L900" s="37"/>
    </row>
    <row r="901" spans="1:12" ht="16.5" customHeight="1" x14ac:dyDescent="0.2">
      <c r="A901" s="37"/>
      <c r="L901" s="37"/>
    </row>
    <row r="902" spans="1:12" ht="16.5" customHeight="1" x14ac:dyDescent="0.2">
      <c r="A902" s="37"/>
      <c r="L902" s="37"/>
    </row>
    <row r="903" spans="1:12" ht="16.5" customHeight="1" x14ac:dyDescent="0.2">
      <c r="A903" s="37"/>
      <c r="L903" s="37"/>
    </row>
    <row r="904" spans="1:12" ht="16.5" customHeight="1" x14ac:dyDescent="0.2">
      <c r="A904" s="37"/>
      <c r="L904" s="37"/>
    </row>
    <row r="905" spans="1:12" ht="16.5" customHeight="1" x14ac:dyDescent="0.2">
      <c r="A905" s="37"/>
      <c r="L905" s="37"/>
    </row>
    <row r="906" spans="1:12" ht="16.5" customHeight="1" x14ac:dyDescent="0.2">
      <c r="A906" s="37"/>
      <c r="L906" s="37"/>
    </row>
    <row r="907" spans="1:12" ht="16.5" customHeight="1" x14ac:dyDescent="0.2">
      <c r="A907" s="37"/>
      <c r="L907" s="37"/>
    </row>
    <row r="908" spans="1:12" ht="16.5" customHeight="1" x14ac:dyDescent="0.2">
      <c r="A908" s="37"/>
      <c r="L908" s="37"/>
    </row>
    <row r="909" spans="1:12" ht="16.5" customHeight="1" x14ac:dyDescent="0.2">
      <c r="A909" s="37"/>
      <c r="L909" s="37"/>
    </row>
    <row r="910" spans="1:12" ht="16.5" customHeight="1" x14ac:dyDescent="0.2">
      <c r="A910" s="37"/>
      <c r="L910" s="37"/>
    </row>
    <row r="911" spans="1:12" ht="16.5" customHeight="1" x14ac:dyDescent="0.2">
      <c r="A911" s="37"/>
      <c r="L911" s="37"/>
    </row>
    <row r="912" spans="1:12" ht="16.5" customHeight="1" x14ac:dyDescent="0.2">
      <c r="A912" s="37"/>
      <c r="L912" s="37"/>
    </row>
    <row r="913" spans="1:12" ht="16.5" customHeight="1" x14ac:dyDescent="0.2">
      <c r="A913" s="37"/>
      <c r="L913" s="37"/>
    </row>
    <row r="914" spans="1:12" ht="16.5" customHeight="1" x14ac:dyDescent="0.2">
      <c r="A914" s="37"/>
      <c r="L914" s="37"/>
    </row>
    <row r="915" spans="1:12" ht="16.5" customHeight="1" x14ac:dyDescent="0.2">
      <c r="A915" s="37"/>
      <c r="L915" s="37"/>
    </row>
    <row r="916" spans="1:12" ht="16.5" customHeight="1" x14ac:dyDescent="0.2">
      <c r="A916" s="37"/>
      <c r="L916" s="37"/>
    </row>
    <row r="917" spans="1:12" ht="16.5" customHeight="1" x14ac:dyDescent="0.2">
      <c r="A917" s="37"/>
      <c r="L917" s="37"/>
    </row>
    <row r="918" spans="1:12" ht="16.5" customHeight="1" x14ac:dyDescent="0.2">
      <c r="A918" s="37"/>
      <c r="L918" s="37"/>
    </row>
    <row r="919" spans="1:12" ht="16.5" customHeight="1" x14ac:dyDescent="0.2">
      <c r="A919" s="37"/>
      <c r="L919" s="37"/>
    </row>
    <row r="920" spans="1:12" ht="16.5" customHeight="1" x14ac:dyDescent="0.2">
      <c r="A920" s="37"/>
      <c r="L920" s="37"/>
    </row>
    <row r="921" spans="1:12" ht="16.5" customHeight="1" x14ac:dyDescent="0.2">
      <c r="A921" s="37"/>
      <c r="L921" s="37"/>
    </row>
    <row r="922" spans="1:12" ht="16.5" customHeight="1" x14ac:dyDescent="0.2">
      <c r="A922" s="37"/>
      <c r="L922" s="37"/>
    </row>
    <row r="923" spans="1:12" ht="16.5" customHeight="1" x14ac:dyDescent="0.2">
      <c r="A923" s="37"/>
      <c r="L923" s="37"/>
    </row>
    <row r="924" spans="1:12" ht="16.5" customHeight="1" x14ac:dyDescent="0.2">
      <c r="A924" s="37"/>
      <c r="L924" s="37"/>
    </row>
    <row r="925" spans="1:12" ht="16.5" customHeight="1" x14ac:dyDescent="0.2">
      <c r="A925" s="37"/>
      <c r="L925" s="37"/>
    </row>
    <row r="926" spans="1:12" ht="16.5" customHeight="1" x14ac:dyDescent="0.2">
      <c r="A926" s="37"/>
      <c r="L926" s="37"/>
    </row>
    <row r="927" spans="1:12" ht="16.5" customHeight="1" x14ac:dyDescent="0.2">
      <c r="A927" s="37"/>
      <c r="L927" s="37"/>
    </row>
    <row r="928" spans="1:12" ht="16.5" customHeight="1" x14ac:dyDescent="0.2">
      <c r="A928" s="37"/>
      <c r="L928" s="37"/>
    </row>
    <row r="929" spans="1:15" ht="16.5" customHeight="1" x14ac:dyDescent="0.2">
      <c r="A929" s="37"/>
      <c r="L929" s="37"/>
    </row>
    <row r="930" spans="1:15" ht="16.5" customHeight="1" x14ac:dyDescent="0.2">
      <c r="A930" s="37"/>
      <c r="L930" s="37"/>
    </row>
    <row r="931" spans="1:15" ht="16.5" customHeight="1" x14ac:dyDescent="0.2">
      <c r="A931" s="37"/>
      <c r="L931" s="37"/>
    </row>
    <row r="932" spans="1:15" ht="16.5" customHeight="1" x14ac:dyDescent="0.2">
      <c r="A932" s="37"/>
      <c r="L932" s="37"/>
    </row>
    <row r="933" spans="1:15" ht="16.5" customHeight="1" x14ac:dyDescent="0.2">
      <c r="A933" s="37"/>
      <c r="L933" s="37"/>
    </row>
    <row r="934" spans="1:15" ht="16.5" customHeight="1" x14ac:dyDescent="0.2">
      <c r="A934" s="37"/>
      <c r="L934" s="37"/>
    </row>
    <row r="935" spans="1:15" ht="16.5" customHeight="1" x14ac:dyDescent="0.2">
      <c r="A935" s="37"/>
      <c r="L935" s="37"/>
    </row>
    <row r="936" spans="1:15" ht="16.5" customHeight="1" x14ac:dyDescent="0.2">
      <c r="A936" s="37"/>
      <c r="L936" s="37"/>
    </row>
    <row r="937" spans="1:15" ht="16.5" customHeight="1" x14ac:dyDescent="0.2">
      <c r="A937" s="37"/>
      <c r="L937" s="37"/>
      <c r="O937" s="40">
        <v>2</v>
      </c>
    </row>
    <row r="938" spans="1:15" ht="16.5" customHeight="1" x14ac:dyDescent="0.2">
      <c r="A938" s="37"/>
      <c r="L938" s="37"/>
    </row>
    <row r="939" spans="1:15" ht="16.5" customHeight="1" x14ac:dyDescent="0.2">
      <c r="A939" s="37"/>
      <c r="L939" s="37"/>
    </row>
    <row r="940" spans="1:15" ht="16.5" customHeight="1" x14ac:dyDescent="0.2">
      <c r="A940" s="37"/>
      <c r="L940" s="37"/>
    </row>
    <row r="941" spans="1:15" ht="16.5" customHeight="1" x14ac:dyDescent="0.2">
      <c r="A941" s="37"/>
      <c r="L941" s="37"/>
    </row>
    <row r="942" spans="1:15" ht="16.5" customHeight="1" x14ac:dyDescent="0.2">
      <c r="A942" s="37"/>
      <c r="L942" s="37"/>
    </row>
    <row r="943" spans="1:15" ht="16.5" customHeight="1" x14ac:dyDescent="0.2">
      <c r="A943" s="37"/>
      <c r="L943" s="37"/>
    </row>
    <row r="944" spans="1:15" ht="16.5" customHeight="1" x14ac:dyDescent="0.2">
      <c r="A944" s="37"/>
      <c r="L944" s="37"/>
    </row>
    <row r="945" spans="1:12" ht="16.5" customHeight="1" x14ac:dyDescent="0.2">
      <c r="A945" s="37"/>
      <c r="L945" s="37"/>
    </row>
    <row r="946" spans="1:12" ht="16.5" customHeight="1" x14ac:dyDescent="0.2">
      <c r="A946" s="37"/>
      <c r="L946" s="37"/>
    </row>
    <row r="947" spans="1:12" ht="16.5" customHeight="1" x14ac:dyDescent="0.2">
      <c r="A947" s="37"/>
      <c r="L947" s="37"/>
    </row>
    <row r="948" spans="1:12" ht="16.5" customHeight="1" x14ac:dyDescent="0.2">
      <c r="A948" s="37"/>
      <c r="L948" s="37"/>
    </row>
    <row r="949" spans="1:12" ht="16.5" customHeight="1" x14ac:dyDescent="0.2">
      <c r="A949" s="37"/>
      <c r="L949" s="37"/>
    </row>
    <row r="950" spans="1:12" ht="16.5" customHeight="1" x14ac:dyDescent="0.2">
      <c r="A950" s="37"/>
      <c r="L950" s="37"/>
    </row>
    <row r="951" spans="1:12" ht="16.5" customHeight="1" x14ac:dyDescent="0.2">
      <c r="A951" s="37"/>
      <c r="L951" s="37"/>
    </row>
    <row r="952" spans="1:12" ht="16.5" customHeight="1" x14ac:dyDescent="0.2">
      <c r="A952" s="37"/>
      <c r="L952" s="37"/>
    </row>
    <row r="953" spans="1:12" ht="16.5" customHeight="1" x14ac:dyDescent="0.2">
      <c r="A953" s="37"/>
      <c r="L953" s="37"/>
    </row>
    <row r="954" spans="1:12" ht="16.5" customHeight="1" x14ac:dyDescent="0.2">
      <c r="A954" s="37"/>
      <c r="L954" s="37"/>
    </row>
    <row r="955" spans="1:12" ht="16.5" customHeight="1" x14ac:dyDescent="0.2">
      <c r="A955" s="37"/>
      <c r="L955" s="37"/>
    </row>
    <row r="956" spans="1:12" ht="16.5" customHeight="1" x14ac:dyDescent="0.2">
      <c r="A956" s="37"/>
      <c r="L956" s="37"/>
    </row>
    <row r="957" spans="1:12" ht="16.5" customHeight="1" x14ac:dyDescent="0.2">
      <c r="A957" s="37"/>
      <c r="L957" s="37"/>
    </row>
    <row r="958" spans="1:12" ht="16.5" customHeight="1" x14ac:dyDescent="0.2">
      <c r="A958" s="37"/>
      <c r="L958" s="37"/>
    </row>
    <row r="959" spans="1:12" ht="16.5" customHeight="1" x14ac:dyDescent="0.2">
      <c r="A959" s="37"/>
      <c r="L959" s="37"/>
    </row>
    <row r="960" spans="1:12" ht="16.5" customHeight="1" x14ac:dyDescent="0.2">
      <c r="A960" s="37"/>
      <c r="L960" s="37"/>
    </row>
    <row r="961" spans="1:12" ht="16.5" customHeight="1" x14ac:dyDescent="0.2">
      <c r="A961" s="37"/>
      <c r="L961" s="37"/>
    </row>
    <row r="962" spans="1:12" ht="16.5" customHeight="1" x14ac:dyDescent="0.2">
      <c r="A962" s="37"/>
      <c r="L962" s="37"/>
    </row>
    <row r="963" spans="1:12" ht="16.5" customHeight="1" x14ac:dyDescent="0.2">
      <c r="A963" s="37"/>
      <c r="L963" s="37"/>
    </row>
    <row r="964" spans="1:12" ht="16.5" customHeight="1" x14ac:dyDescent="0.2">
      <c r="A964" s="37"/>
      <c r="L964" s="37"/>
    </row>
    <row r="965" spans="1:12" ht="16.5" customHeight="1" x14ac:dyDescent="0.2">
      <c r="A965" s="37"/>
      <c r="L965" s="37"/>
    </row>
    <row r="966" spans="1:12" ht="16.5" customHeight="1" x14ac:dyDescent="0.2">
      <c r="A966" s="37"/>
      <c r="L966" s="37"/>
    </row>
    <row r="967" spans="1:12" ht="16.5" customHeight="1" x14ac:dyDescent="0.2">
      <c r="A967" s="37"/>
      <c r="L967" s="37"/>
    </row>
    <row r="968" spans="1:12" ht="16.5" customHeight="1" x14ac:dyDescent="0.2">
      <c r="A968" s="37"/>
      <c r="L968" s="37"/>
    </row>
    <row r="969" spans="1:12" ht="16.5" customHeight="1" x14ac:dyDescent="0.2">
      <c r="A969" s="37"/>
      <c r="L969" s="37"/>
    </row>
    <row r="970" spans="1:12" ht="16.5" customHeight="1" x14ac:dyDescent="0.2">
      <c r="A970" s="37"/>
      <c r="L970" s="37"/>
    </row>
    <row r="971" spans="1:12" ht="16.5" customHeight="1" x14ac:dyDescent="0.2">
      <c r="A971" s="37"/>
      <c r="L971" s="37"/>
    </row>
    <row r="972" spans="1:12" ht="16.5" customHeight="1" x14ac:dyDescent="0.2">
      <c r="A972" s="37"/>
      <c r="L972" s="37"/>
    </row>
    <row r="973" spans="1:12" ht="16.5" customHeight="1" x14ac:dyDescent="0.2">
      <c r="A973" s="37"/>
      <c r="L973" s="37"/>
    </row>
    <row r="974" spans="1:12" ht="16.5" customHeight="1" x14ac:dyDescent="0.2">
      <c r="A974" s="37"/>
      <c r="L974" s="37"/>
    </row>
    <row r="975" spans="1:12" ht="16.5" customHeight="1" x14ac:dyDescent="0.2">
      <c r="A975" s="37"/>
      <c r="L975" s="37"/>
    </row>
    <row r="976" spans="1:12" ht="16.5" customHeight="1" x14ac:dyDescent="0.2">
      <c r="A976" s="37"/>
      <c r="L976" s="37"/>
    </row>
    <row r="977" spans="1:12" ht="16.5" customHeight="1" x14ac:dyDescent="0.2">
      <c r="A977" s="37"/>
      <c r="L977" s="37"/>
    </row>
    <row r="978" spans="1:12" ht="16.5" customHeight="1" x14ac:dyDescent="0.2">
      <c r="A978" s="37"/>
      <c r="L978" s="37"/>
    </row>
    <row r="979" spans="1:12" ht="16.5" customHeight="1" x14ac:dyDescent="0.2">
      <c r="A979" s="37"/>
      <c r="L979" s="37"/>
    </row>
    <row r="980" spans="1:12" ht="16.5" customHeight="1" x14ac:dyDescent="0.2">
      <c r="A980" s="37"/>
      <c r="L980" s="37"/>
    </row>
    <row r="981" spans="1:12" ht="16.5" customHeight="1" x14ac:dyDescent="0.2">
      <c r="A981" s="37"/>
      <c r="L981" s="37"/>
    </row>
    <row r="982" spans="1:12" ht="16.5" customHeight="1" x14ac:dyDescent="0.2">
      <c r="A982" s="37"/>
      <c r="L982" s="37"/>
    </row>
    <row r="983" spans="1:12" ht="16.5" customHeight="1" x14ac:dyDescent="0.2">
      <c r="A983" s="37"/>
      <c r="L983" s="37"/>
    </row>
    <row r="984" spans="1:12" ht="16.5" customHeight="1" x14ac:dyDescent="0.2">
      <c r="A984" s="37"/>
      <c r="L984" s="37"/>
    </row>
    <row r="985" spans="1:12" ht="16.5" customHeight="1" x14ac:dyDescent="0.2">
      <c r="A985" s="37"/>
      <c r="L985" s="37"/>
    </row>
    <row r="986" spans="1:12" ht="16.5" customHeight="1" x14ac:dyDescent="0.2">
      <c r="A986" s="37"/>
      <c r="L986" s="37"/>
    </row>
    <row r="987" spans="1:12" ht="16.5" customHeight="1" x14ac:dyDescent="0.2">
      <c r="A987" s="37"/>
      <c r="L987" s="37"/>
    </row>
    <row r="988" spans="1:12" ht="16.5" customHeight="1" x14ac:dyDescent="0.2">
      <c r="A988" s="37"/>
      <c r="L988" s="37"/>
    </row>
    <row r="989" spans="1:12" ht="16.5" customHeight="1" x14ac:dyDescent="0.2">
      <c r="A989" s="37"/>
      <c r="L989" s="37"/>
    </row>
    <row r="990" spans="1:12" ht="16.5" customHeight="1" x14ac:dyDescent="0.2">
      <c r="A990" s="37"/>
      <c r="L990" s="37"/>
    </row>
    <row r="991" spans="1:12" ht="16.5" customHeight="1" x14ac:dyDescent="0.2">
      <c r="A991" s="37"/>
      <c r="L991" s="37"/>
    </row>
    <row r="992" spans="1:12" ht="16.5" customHeight="1" x14ac:dyDescent="0.2">
      <c r="A992" s="37"/>
      <c r="L992" s="37"/>
    </row>
    <row r="993" spans="1:12" ht="16.5" customHeight="1" x14ac:dyDescent="0.2">
      <c r="A993" s="37"/>
      <c r="L993" s="37"/>
    </row>
    <row r="994" spans="1:12" ht="16.5" customHeight="1" x14ac:dyDescent="0.2">
      <c r="A994" s="37"/>
      <c r="L994" s="37"/>
    </row>
    <row r="995" spans="1:12" ht="16.5" customHeight="1" x14ac:dyDescent="0.2">
      <c r="A995" s="37"/>
      <c r="L995" s="37"/>
    </row>
    <row r="996" spans="1:12" ht="16.5" customHeight="1" x14ac:dyDescent="0.2">
      <c r="A996" s="37"/>
      <c r="L996" s="37"/>
    </row>
    <row r="997" spans="1:12" ht="16.5" customHeight="1" x14ac:dyDescent="0.2">
      <c r="A997" s="37"/>
      <c r="L997" s="37"/>
    </row>
    <row r="998" spans="1:12" ht="16.5" customHeight="1" x14ac:dyDescent="0.2">
      <c r="A998" s="37"/>
      <c r="L998" s="37"/>
    </row>
    <row r="999" spans="1:12" ht="16.5" customHeight="1" x14ac:dyDescent="0.2">
      <c r="A999" s="37"/>
      <c r="L999" s="37"/>
    </row>
    <row r="1000" spans="1:12" ht="16.5" customHeight="1" x14ac:dyDescent="0.2">
      <c r="A1000" s="37"/>
      <c r="L1000" s="37"/>
    </row>
    <row r="1001" spans="1:12" ht="16.5" customHeight="1" x14ac:dyDescent="0.2">
      <c r="A1001" s="37"/>
      <c r="L1001" s="37"/>
    </row>
    <row r="1002" spans="1:12" ht="16.5" customHeight="1" x14ac:dyDescent="0.2">
      <c r="A1002" s="37"/>
      <c r="L1002" s="37"/>
    </row>
    <row r="1003" spans="1:12" ht="16.5" customHeight="1" x14ac:dyDescent="0.2">
      <c r="A1003" s="37"/>
      <c r="L1003" s="37"/>
    </row>
    <row r="1004" spans="1:12" ht="16.5" customHeight="1" x14ac:dyDescent="0.2">
      <c r="A1004" s="37"/>
      <c r="L1004" s="37"/>
    </row>
    <row r="1005" spans="1:12" ht="16.5" customHeight="1" x14ac:dyDescent="0.2">
      <c r="A1005" s="37"/>
      <c r="L1005" s="37"/>
    </row>
    <row r="1006" spans="1:12" ht="16.5" customHeight="1" x14ac:dyDescent="0.2">
      <c r="A1006" s="37"/>
      <c r="L1006" s="37"/>
    </row>
    <row r="1007" spans="1:12" ht="16.5" customHeight="1" x14ac:dyDescent="0.2">
      <c r="A1007" s="37"/>
      <c r="L1007" s="37"/>
    </row>
    <row r="1008" spans="1:12" ht="16.5" customHeight="1" x14ac:dyDescent="0.2">
      <c r="A1008" s="37"/>
      <c r="L1008" s="37"/>
    </row>
    <row r="1009" spans="1:12" ht="16.5" customHeight="1" x14ac:dyDescent="0.2">
      <c r="A1009" s="37"/>
      <c r="L1009" s="37"/>
    </row>
    <row r="1010" spans="1:12" ht="16.5" customHeight="1" x14ac:dyDescent="0.2">
      <c r="A1010" s="37"/>
      <c r="L1010" s="37"/>
    </row>
    <row r="1011" spans="1:12" ht="16.5" customHeight="1" x14ac:dyDescent="0.2">
      <c r="A1011" s="37"/>
      <c r="L1011" s="37"/>
    </row>
    <row r="1012" spans="1:12" ht="16.5" customHeight="1" x14ac:dyDescent="0.2">
      <c r="A1012" s="37"/>
      <c r="L1012" s="37"/>
    </row>
    <row r="1013" spans="1:12" ht="16.5" customHeight="1" x14ac:dyDescent="0.2">
      <c r="A1013" s="37"/>
      <c r="L1013" s="37"/>
    </row>
    <row r="1014" spans="1:12" ht="16.5" customHeight="1" x14ac:dyDescent="0.2">
      <c r="A1014" s="37"/>
      <c r="L1014" s="37"/>
    </row>
    <row r="1015" spans="1:12" ht="16.5" customHeight="1" x14ac:dyDescent="0.2">
      <c r="A1015" s="37"/>
      <c r="L1015" s="37"/>
    </row>
    <row r="1016" spans="1:12" ht="16.5" customHeight="1" x14ac:dyDescent="0.2">
      <c r="A1016" s="37"/>
      <c r="L1016" s="37"/>
    </row>
    <row r="1017" spans="1:12" ht="16.5" customHeight="1" x14ac:dyDescent="0.2">
      <c r="A1017" s="37"/>
      <c r="L1017" s="37"/>
    </row>
    <row r="1018" spans="1:12" ht="16.5" customHeight="1" x14ac:dyDescent="0.2">
      <c r="A1018" s="37"/>
      <c r="L1018" s="37"/>
    </row>
    <row r="1019" spans="1:12" ht="16.5" customHeight="1" x14ac:dyDescent="0.2">
      <c r="A1019" s="37"/>
      <c r="L1019" s="37"/>
    </row>
    <row r="1020" spans="1:12" ht="16.5" customHeight="1" x14ac:dyDescent="0.2">
      <c r="A1020" s="37"/>
      <c r="L1020" s="37"/>
    </row>
    <row r="1021" spans="1:12" ht="16.5" customHeight="1" x14ac:dyDescent="0.2">
      <c r="A1021" s="37"/>
      <c r="L1021" s="37"/>
    </row>
    <row r="1022" spans="1:12" ht="16.5" customHeight="1" x14ac:dyDescent="0.2">
      <c r="A1022" s="37"/>
      <c r="L1022" s="37"/>
    </row>
    <row r="1023" spans="1:12" ht="16.5" customHeight="1" x14ac:dyDescent="0.2">
      <c r="A1023" s="37"/>
      <c r="L1023" s="37"/>
    </row>
    <row r="1024" spans="1:12" ht="16.5" customHeight="1" x14ac:dyDescent="0.2">
      <c r="A1024" s="37"/>
      <c r="L1024" s="37"/>
    </row>
    <row r="1025" spans="1:12" ht="16.5" customHeight="1" x14ac:dyDescent="0.2">
      <c r="A1025" s="37"/>
      <c r="L1025" s="37"/>
    </row>
    <row r="1026" spans="1:12" ht="16.5" customHeight="1" x14ac:dyDescent="0.2">
      <c r="A1026" s="37"/>
      <c r="L1026" s="37"/>
    </row>
    <row r="1027" spans="1:12" ht="16.5" customHeight="1" x14ac:dyDescent="0.2">
      <c r="A1027" s="37"/>
      <c r="L1027" s="37"/>
    </row>
    <row r="1028" spans="1:12" ht="16.5" customHeight="1" x14ac:dyDescent="0.2">
      <c r="A1028" s="37"/>
      <c r="L1028" s="37"/>
    </row>
    <row r="1029" spans="1:12" ht="16.5" customHeight="1" x14ac:dyDescent="0.2">
      <c r="A1029" s="37"/>
      <c r="L1029" s="37"/>
    </row>
    <row r="1030" spans="1:12" ht="16.5" customHeight="1" x14ac:dyDescent="0.2">
      <c r="A1030" s="37"/>
      <c r="L1030" s="37"/>
    </row>
    <row r="1031" spans="1:12" ht="16.5" customHeight="1" x14ac:dyDescent="0.2">
      <c r="A1031" s="37"/>
      <c r="L1031" s="37"/>
    </row>
    <row r="1032" spans="1:12" ht="16.5" customHeight="1" x14ac:dyDescent="0.2">
      <c r="A1032" s="37"/>
      <c r="L1032" s="37"/>
    </row>
    <row r="1033" spans="1:12" ht="16.5" customHeight="1" x14ac:dyDescent="0.2">
      <c r="A1033" s="37"/>
      <c r="L1033" s="37"/>
    </row>
    <row r="1034" spans="1:12" ht="16.5" customHeight="1" x14ac:dyDescent="0.2">
      <c r="A1034" s="37"/>
      <c r="L1034" s="37"/>
    </row>
    <row r="1035" spans="1:12" ht="16.5" customHeight="1" x14ac:dyDescent="0.2">
      <c r="A1035" s="37"/>
      <c r="L1035" s="37"/>
    </row>
    <row r="1036" spans="1:12" ht="16.5" customHeight="1" x14ac:dyDescent="0.2">
      <c r="A1036" s="37"/>
      <c r="L1036" s="37"/>
    </row>
    <row r="1037" spans="1:12" ht="16.5" customHeight="1" x14ac:dyDescent="0.2">
      <c r="A1037" s="37"/>
      <c r="L1037" s="37"/>
    </row>
    <row r="1038" spans="1:12" ht="16.5" customHeight="1" x14ac:dyDescent="0.2">
      <c r="A1038" s="37"/>
      <c r="L1038" s="37"/>
    </row>
    <row r="1039" spans="1:12" ht="16.5" customHeight="1" x14ac:dyDescent="0.2">
      <c r="A1039" s="37"/>
      <c r="L1039" s="37"/>
    </row>
    <row r="1040" spans="1:12" ht="16.5" customHeight="1" x14ac:dyDescent="0.2">
      <c r="A1040" s="37"/>
      <c r="L1040" s="37"/>
    </row>
    <row r="1041" spans="1:12" ht="16.5" customHeight="1" x14ac:dyDescent="0.2">
      <c r="A1041" s="37"/>
      <c r="L1041" s="37"/>
    </row>
    <row r="1042" spans="1:12" ht="16.5" customHeight="1" x14ac:dyDescent="0.2">
      <c r="A1042" s="37"/>
      <c r="L1042" s="37"/>
    </row>
    <row r="1043" spans="1:12" ht="16.5" customHeight="1" x14ac:dyDescent="0.2">
      <c r="A1043" s="37"/>
      <c r="L1043" s="37"/>
    </row>
    <row r="1044" spans="1:12" ht="16.5" customHeight="1" x14ac:dyDescent="0.2">
      <c r="A1044" s="37"/>
      <c r="L1044" s="37"/>
    </row>
    <row r="1045" spans="1:12" ht="16.5" customHeight="1" x14ac:dyDescent="0.2">
      <c r="A1045" s="37"/>
      <c r="L1045" s="37"/>
    </row>
    <row r="1046" spans="1:12" ht="16.5" customHeight="1" x14ac:dyDescent="0.2">
      <c r="A1046" s="37"/>
      <c r="L1046" s="37"/>
    </row>
    <row r="1047" spans="1:12" ht="16.5" customHeight="1" x14ac:dyDescent="0.2">
      <c r="A1047" s="37"/>
      <c r="L1047" s="37"/>
    </row>
    <row r="1048" spans="1:12" ht="16.5" customHeight="1" x14ac:dyDescent="0.2">
      <c r="A1048" s="37"/>
      <c r="L1048" s="37"/>
    </row>
    <row r="1049" spans="1:12" ht="16.5" customHeight="1" x14ac:dyDescent="0.2">
      <c r="A1049" s="37"/>
      <c r="L1049" s="37"/>
    </row>
    <row r="1050" spans="1:12" ht="16.5" customHeight="1" x14ac:dyDescent="0.2">
      <c r="A1050" s="37"/>
      <c r="L1050" s="37"/>
    </row>
    <row r="1051" spans="1:12" ht="16.5" customHeight="1" x14ac:dyDescent="0.2">
      <c r="A1051" s="37"/>
      <c r="L1051" s="37"/>
    </row>
    <row r="1052" spans="1:12" ht="16.5" customHeight="1" x14ac:dyDescent="0.2">
      <c r="A1052" s="37"/>
      <c r="L1052" s="37"/>
    </row>
    <row r="1053" spans="1:12" ht="16.5" customHeight="1" x14ac:dyDescent="0.2">
      <c r="A1053" s="37"/>
      <c r="L1053" s="37"/>
    </row>
    <row r="1054" spans="1:12" ht="16.5" customHeight="1" x14ac:dyDescent="0.2">
      <c r="A1054" s="37"/>
      <c r="L1054" s="37"/>
    </row>
    <row r="1055" spans="1:12" ht="16.5" customHeight="1" x14ac:dyDescent="0.2">
      <c r="A1055" s="37"/>
      <c r="L1055" s="37"/>
    </row>
    <row r="1056" spans="1:12" ht="16.5" customHeight="1" x14ac:dyDescent="0.2">
      <c r="A1056" s="37"/>
      <c r="L1056" s="37"/>
    </row>
    <row r="1057" spans="1:12" ht="16.5" customHeight="1" x14ac:dyDescent="0.2">
      <c r="A1057" s="37"/>
      <c r="L1057" s="37"/>
    </row>
    <row r="1058" spans="1:12" ht="16.5" customHeight="1" x14ac:dyDescent="0.2">
      <c r="A1058" s="37"/>
      <c r="L1058" s="37"/>
    </row>
    <row r="1059" spans="1:12" ht="16.5" customHeight="1" x14ac:dyDescent="0.2">
      <c r="A1059" s="37"/>
      <c r="L1059" s="37"/>
    </row>
    <row r="1060" spans="1:12" ht="16.5" customHeight="1" x14ac:dyDescent="0.2">
      <c r="A1060" s="37"/>
      <c r="L1060" s="37"/>
    </row>
    <row r="1061" spans="1:12" ht="16.5" customHeight="1" x14ac:dyDescent="0.2">
      <c r="A1061" s="37"/>
      <c r="L1061" s="37"/>
    </row>
    <row r="1062" spans="1:12" ht="16.5" customHeight="1" x14ac:dyDescent="0.2">
      <c r="A1062" s="37"/>
      <c r="L1062" s="37"/>
    </row>
    <row r="1063" spans="1:12" ht="16.5" customHeight="1" x14ac:dyDescent="0.2">
      <c r="A1063" s="37"/>
      <c r="L1063" s="37"/>
    </row>
    <row r="1064" spans="1:12" ht="16.5" customHeight="1" x14ac:dyDescent="0.2">
      <c r="A1064" s="37"/>
      <c r="L1064" s="37"/>
    </row>
    <row r="1065" spans="1:12" ht="16.5" customHeight="1" x14ac:dyDescent="0.2">
      <c r="A1065" s="37"/>
      <c r="L1065" s="37"/>
    </row>
    <row r="1066" spans="1:12" ht="16.5" customHeight="1" x14ac:dyDescent="0.2">
      <c r="A1066" s="37"/>
      <c r="L1066" s="37"/>
    </row>
    <row r="1067" spans="1:12" ht="16.5" customHeight="1" x14ac:dyDescent="0.2">
      <c r="A1067" s="37"/>
      <c r="L1067" s="37"/>
    </row>
    <row r="1068" spans="1:12" ht="16.5" customHeight="1" x14ac:dyDescent="0.2">
      <c r="A1068" s="37"/>
      <c r="L1068" s="37"/>
    </row>
    <row r="1069" spans="1:12" ht="16.5" customHeight="1" x14ac:dyDescent="0.2">
      <c r="A1069" s="37"/>
      <c r="L1069" s="37"/>
    </row>
    <row r="1070" spans="1:12" ht="16.5" customHeight="1" x14ac:dyDescent="0.2">
      <c r="A1070" s="37"/>
      <c r="L1070" s="37"/>
    </row>
    <row r="1071" spans="1:12" ht="16.5" customHeight="1" x14ac:dyDescent="0.2">
      <c r="A1071" s="37"/>
      <c r="L1071" s="37"/>
    </row>
    <row r="1072" spans="1:12" ht="16.5" customHeight="1" x14ac:dyDescent="0.2">
      <c r="A1072" s="37"/>
      <c r="L1072" s="37"/>
    </row>
    <row r="1073" spans="1:12" ht="16.5" customHeight="1" x14ac:dyDescent="0.2">
      <c r="A1073" s="37"/>
      <c r="L1073" s="37"/>
    </row>
    <row r="1074" spans="1:12" ht="16.5" customHeight="1" x14ac:dyDescent="0.2">
      <c r="A1074" s="37"/>
      <c r="L1074" s="37"/>
    </row>
    <row r="1075" spans="1:12" ht="16.5" customHeight="1" x14ac:dyDescent="0.2">
      <c r="A1075" s="37"/>
      <c r="L1075" s="37"/>
    </row>
    <row r="1076" spans="1:12" ht="16.5" customHeight="1" x14ac:dyDescent="0.2">
      <c r="A1076" s="37"/>
      <c r="L1076" s="37"/>
    </row>
    <row r="1077" spans="1:12" ht="16.5" customHeight="1" x14ac:dyDescent="0.2">
      <c r="A1077" s="37"/>
      <c r="L1077" s="37"/>
    </row>
    <row r="1078" spans="1:12" ht="16.5" customHeight="1" x14ac:dyDescent="0.2">
      <c r="A1078" s="37"/>
      <c r="L1078" s="37"/>
    </row>
    <row r="1079" spans="1:12" ht="16.5" customHeight="1" x14ac:dyDescent="0.2">
      <c r="A1079" s="37"/>
      <c r="L1079" s="37"/>
    </row>
    <row r="1080" spans="1:12" ht="16.5" customHeight="1" x14ac:dyDescent="0.2">
      <c r="A1080" s="37"/>
      <c r="L1080" s="37"/>
    </row>
    <row r="1081" spans="1:12" ht="16.5" customHeight="1" x14ac:dyDescent="0.2">
      <c r="A1081" s="37"/>
      <c r="L1081" s="37"/>
    </row>
    <row r="1082" spans="1:12" ht="16.5" customHeight="1" x14ac:dyDescent="0.2">
      <c r="A1082" s="37"/>
      <c r="L1082" s="37"/>
    </row>
    <row r="1083" spans="1:12" ht="16.5" customHeight="1" x14ac:dyDescent="0.2">
      <c r="A1083" s="37"/>
      <c r="L1083" s="37"/>
    </row>
    <row r="1084" spans="1:12" ht="16.5" customHeight="1" x14ac:dyDescent="0.2">
      <c r="A1084" s="37"/>
      <c r="L1084" s="37"/>
    </row>
    <row r="1085" spans="1:12" ht="16.5" customHeight="1" x14ac:dyDescent="0.2">
      <c r="A1085" s="37"/>
      <c r="L1085" s="37"/>
    </row>
    <row r="1086" spans="1:12" ht="16.5" customHeight="1" x14ac:dyDescent="0.2">
      <c r="A1086" s="37"/>
      <c r="L1086" s="37"/>
    </row>
    <row r="1087" spans="1:12" ht="16.5" customHeight="1" x14ac:dyDescent="0.2">
      <c r="A1087" s="37"/>
      <c r="L1087" s="37"/>
    </row>
    <row r="1088" spans="1:12" ht="16.5" customHeight="1" x14ac:dyDescent="0.2">
      <c r="A1088" s="37"/>
      <c r="L1088" s="37"/>
    </row>
    <row r="1089" spans="1:12" ht="16.5" customHeight="1" x14ac:dyDescent="0.2">
      <c r="A1089" s="37"/>
      <c r="L1089" s="37"/>
    </row>
    <row r="1090" spans="1:12" ht="16.5" customHeight="1" x14ac:dyDescent="0.2">
      <c r="A1090" s="37"/>
      <c r="L1090" s="37"/>
    </row>
    <row r="1091" spans="1:12" ht="16.5" customHeight="1" x14ac:dyDescent="0.2">
      <c r="A1091" s="37"/>
      <c r="L1091" s="37"/>
    </row>
    <row r="1092" spans="1:12" ht="16.5" customHeight="1" x14ac:dyDescent="0.2">
      <c r="A1092" s="37"/>
      <c r="L1092" s="37"/>
    </row>
    <row r="1093" spans="1:12" ht="16.5" customHeight="1" x14ac:dyDescent="0.2">
      <c r="A1093" s="37"/>
      <c r="L1093" s="37"/>
    </row>
    <row r="1094" spans="1:12" ht="16.5" customHeight="1" x14ac:dyDescent="0.2">
      <c r="A1094" s="37"/>
      <c r="L1094" s="37"/>
    </row>
    <row r="1095" spans="1:12" ht="16.5" customHeight="1" x14ac:dyDescent="0.2">
      <c r="A1095" s="37"/>
      <c r="L1095" s="37"/>
    </row>
    <row r="1096" spans="1:12" ht="16.5" customHeight="1" x14ac:dyDescent="0.2">
      <c r="A1096" s="37"/>
      <c r="L1096" s="37"/>
    </row>
    <row r="1097" spans="1:12" ht="16.5" customHeight="1" x14ac:dyDescent="0.2">
      <c r="A1097" s="37"/>
      <c r="L1097" s="37"/>
    </row>
    <row r="1098" spans="1:12" ht="16.5" customHeight="1" x14ac:dyDescent="0.2">
      <c r="A1098" s="37"/>
      <c r="L1098" s="37"/>
    </row>
    <row r="1099" spans="1:12" ht="16.5" customHeight="1" x14ac:dyDescent="0.2">
      <c r="A1099" s="37"/>
      <c r="L1099" s="37"/>
    </row>
    <row r="1100" spans="1:12" ht="16.5" customHeight="1" x14ac:dyDescent="0.2">
      <c r="A1100" s="37"/>
      <c r="L1100" s="37"/>
    </row>
    <row r="1101" spans="1:12" ht="16.5" customHeight="1" x14ac:dyDescent="0.2">
      <c r="A1101" s="37"/>
      <c r="L1101" s="37"/>
    </row>
    <row r="1102" spans="1:12" ht="16.5" customHeight="1" x14ac:dyDescent="0.2">
      <c r="A1102" s="37"/>
      <c r="L1102" s="37"/>
    </row>
    <row r="1103" spans="1:12" ht="16.5" customHeight="1" x14ac:dyDescent="0.2">
      <c r="A1103" s="37"/>
      <c r="L1103" s="37"/>
    </row>
    <row r="1104" spans="1:12" ht="16.5" customHeight="1" x14ac:dyDescent="0.2">
      <c r="A1104" s="37"/>
      <c r="L1104" s="37"/>
    </row>
    <row r="1105" spans="1:12" ht="16.5" customHeight="1" x14ac:dyDescent="0.2">
      <c r="A1105" s="37"/>
      <c r="L1105" s="37"/>
    </row>
    <row r="1106" spans="1:12" ht="16.5" customHeight="1" x14ac:dyDescent="0.2">
      <c r="A1106" s="37"/>
      <c r="L1106" s="37"/>
    </row>
    <row r="1107" spans="1:12" ht="16.5" customHeight="1" x14ac:dyDescent="0.2">
      <c r="A1107" s="37"/>
      <c r="L1107" s="37"/>
    </row>
    <row r="1108" spans="1:12" ht="16.5" customHeight="1" x14ac:dyDescent="0.2">
      <c r="A1108" s="37"/>
      <c r="L1108" s="37"/>
    </row>
    <row r="1109" spans="1:12" ht="16.5" customHeight="1" x14ac:dyDescent="0.2">
      <c r="A1109" s="37"/>
      <c r="L1109" s="37"/>
    </row>
    <row r="1110" spans="1:12" ht="16.5" customHeight="1" x14ac:dyDescent="0.2">
      <c r="A1110" s="37"/>
      <c r="L1110" s="37"/>
    </row>
    <row r="1111" spans="1:12" ht="16.5" customHeight="1" x14ac:dyDescent="0.2">
      <c r="A1111" s="37"/>
      <c r="L1111" s="37"/>
    </row>
    <row r="1112" spans="1:12" ht="16.5" customHeight="1" x14ac:dyDescent="0.2">
      <c r="A1112" s="37"/>
      <c r="L1112" s="37"/>
    </row>
    <row r="1113" spans="1:12" ht="16.5" customHeight="1" x14ac:dyDescent="0.2">
      <c r="A1113" s="37"/>
      <c r="L1113" s="37"/>
    </row>
    <row r="1114" spans="1:12" ht="16.5" customHeight="1" x14ac:dyDescent="0.2">
      <c r="A1114" s="37"/>
      <c r="L1114" s="37"/>
    </row>
    <row r="1115" spans="1:12" ht="16.5" customHeight="1" x14ac:dyDescent="0.2">
      <c r="A1115" s="37"/>
      <c r="L1115" s="37"/>
    </row>
    <row r="1116" spans="1:12" ht="16.5" customHeight="1" x14ac:dyDescent="0.2">
      <c r="A1116" s="37"/>
      <c r="L1116" s="37"/>
    </row>
    <row r="1117" spans="1:12" ht="16.5" customHeight="1" x14ac:dyDescent="0.2">
      <c r="A1117" s="37"/>
      <c r="L1117" s="37"/>
    </row>
    <row r="1118" spans="1:12" ht="16.5" customHeight="1" x14ac:dyDescent="0.2">
      <c r="A1118" s="37"/>
      <c r="L1118" s="37"/>
    </row>
    <row r="1119" spans="1:12" ht="16.5" customHeight="1" x14ac:dyDescent="0.2">
      <c r="A1119" s="37"/>
      <c r="L1119" s="37"/>
    </row>
    <row r="1120" spans="1:12" ht="16.5" customHeight="1" x14ac:dyDescent="0.2">
      <c r="A1120" s="37"/>
      <c r="L1120" s="37"/>
    </row>
    <row r="1121" spans="1:12" ht="16.5" customHeight="1" x14ac:dyDescent="0.2">
      <c r="A1121" s="37"/>
      <c r="L1121" s="37"/>
    </row>
    <row r="1122" spans="1:12" ht="16.5" customHeight="1" x14ac:dyDescent="0.2">
      <c r="A1122" s="37"/>
      <c r="L1122" s="37"/>
    </row>
    <row r="1123" spans="1:12" ht="16.5" customHeight="1" x14ac:dyDescent="0.2">
      <c r="A1123" s="37"/>
      <c r="L1123" s="37"/>
    </row>
    <row r="1124" spans="1:12" ht="16.5" customHeight="1" x14ac:dyDescent="0.2">
      <c r="A1124" s="37"/>
      <c r="L1124" s="37"/>
    </row>
    <row r="1125" spans="1:12" ht="16.5" customHeight="1" x14ac:dyDescent="0.2">
      <c r="A1125" s="37"/>
      <c r="L1125" s="37"/>
    </row>
    <row r="1126" spans="1:12" ht="16.5" customHeight="1" x14ac:dyDescent="0.2">
      <c r="A1126" s="37"/>
      <c r="L1126" s="37"/>
    </row>
    <row r="1127" spans="1:12" ht="16.5" customHeight="1" x14ac:dyDescent="0.2">
      <c r="A1127" s="37"/>
      <c r="L1127" s="37"/>
    </row>
    <row r="1128" spans="1:12" ht="16.5" customHeight="1" x14ac:dyDescent="0.2">
      <c r="A1128" s="37"/>
      <c r="L1128" s="37"/>
    </row>
    <row r="1129" spans="1:12" ht="16.5" customHeight="1" x14ac:dyDescent="0.2">
      <c r="A1129" s="37"/>
      <c r="L1129" s="37"/>
    </row>
    <row r="1130" spans="1:12" ht="16.5" customHeight="1" x14ac:dyDescent="0.2">
      <c r="A1130" s="37"/>
      <c r="L1130" s="37"/>
    </row>
    <row r="1131" spans="1:12" ht="16.5" customHeight="1" x14ac:dyDescent="0.2">
      <c r="A1131" s="37"/>
      <c r="L1131" s="37"/>
    </row>
    <row r="1132" spans="1:12" ht="16.5" customHeight="1" x14ac:dyDescent="0.2">
      <c r="A1132" s="37"/>
      <c r="L1132" s="37"/>
    </row>
    <row r="1133" spans="1:12" ht="16.5" customHeight="1" x14ac:dyDescent="0.2">
      <c r="A1133" s="37"/>
      <c r="L1133" s="37"/>
    </row>
    <row r="1134" spans="1:12" ht="16.5" customHeight="1" x14ac:dyDescent="0.2">
      <c r="A1134" s="37"/>
      <c r="L1134" s="37"/>
    </row>
    <row r="1135" spans="1:12" ht="16.5" customHeight="1" x14ac:dyDescent="0.2">
      <c r="A1135" s="37"/>
      <c r="L1135" s="37"/>
    </row>
    <row r="1136" spans="1:12" ht="16.5" customHeight="1" x14ac:dyDescent="0.2">
      <c r="A1136" s="37"/>
      <c r="L1136" s="37"/>
    </row>
    <row r="1137" spans="1:12" ht="16.5" customHeight="1" x14ac:dyDescent="0.2">
      <c r="A1137" s="37"/>
      <c r="L1137" s="37"/>
    </row>
    <row r="1138" spans="1:12" ht="16.5" customHeight="1" x14ac:dyDescent="0.2">
      <c r="A1138" s="37"/>
      <c r="L1138" s="37"/>
    </row>
    <row r="1139" spans="1:12" ht="16.5" customHeight="1" x14ac:dyDescent="0.2">
      <c r="A1139" s="37"/>
      <c r="L1139" s="37"/>
    </row>
    <row r="1140" spans="1:12" ht="16.5" customHeight="1" x14ac:dyDescent="0.2">
      <c r="A1140" s="37"/>
      <c r="L1140" s="37"/>
    </row>
    <row r="1141" spans="1:12" ht="16.5" customHeight="1" x14ac:dyDescent="0.2">
      <c r="A1141" s="37"/>
      <c r="L1141" s="37"/>
    </row>
    <row r="1142" spans="1:12" ht="16.5" customHeight="1" x14ac:dyDescent="0.2">
      <c r="A1142" s="37"/>
      <c r="L1142" s="37"/>
    </row>
    <row r="1143" spans="1:12" ht="16.5" customHeight="1" x14ac:dyDescent="0.2">
      <c r="A1143" s="37"/>
      <c r="L1143" s="37"/>
    </row>
    <row r="1144" spans="1:12" ht="16.5" customHeight="1" x14ac:dyDescent="0.2">
      <c r="A1144" s="37"/>
      <c r="L1144" s="37"/>
    </row>
    <row r="1145" spans="1:12" ht="16.5" customHeight="1" x14ac:dyDescent="0.2">
      <c r="A1145" s="37"/>
      <c r="L1145" s="37"/>
    </row>
    <row r="1146" spans="1:12" ht="16.5" customHeight="1" x14ac:dyDescent="0.2">
      <c r="A1146" s="37"/>
      <c r="L1146" s="37"/>
    </row>
    <row r="1147" spans="1:12" ht="16.5" customHeight="1" x14ac:dyDescent="0.2">
      <c r="A1147" s="37"/>
      <c r="L1147" s="37"/>
    </row>
    <row r="1148" spans="1:12" ht="16.5" customHeight="1" x14ac:dyDescent="0.2">
      <c r="A1148" s="37"/>
      <c r="L1148" s="37"/>
    </row>
    <row r="1149" spans="1:12" ht="16.5" customHeight="1" x14ac:dyDescent="0.2">
      <c r="A1149" s="37"/>
      <c r="L1149" s="37"/>
    </row>
    <row r="1150" spans="1:12" ht="16.5" customHeight="1" x14ac:dyDescent="0.2">
      <c r="A1150" s="37"/>
      <c r="L1150" s="37"/>
    </row>
    <row r="1151" spans="1:12" ht="16.5" customHeight="1" x14ac:dyDescent="0.2">
      <c r="A1151" s="37"/>
      <c r="L1151" s="37"/>
    </row>
    <row r="1152" spans="1:12" ht="16.5" customHeight="1" x14ac:dyDescent="0.2">
      <c r="A1152" s="37"/>
      <c r="L1152" s="37"/>
    </row>
    <row r="1153" spans="1:12" ht="16.5" customHeight="1" x14ac:dyDescent="0.2">
      <c r="A1153" s="37"/>
      <c r="L1153" s="37"/>
    </row>
    <row r="1154" spans="1:12" ht="16.5" customHeight="1" x14ac:dyDescent="0.2">
      <c r="A1154" s="37"/>
      <c r="L1154" s="37"/>
    </row>
    <row r="1155" spans="1:12" ht="16.5" customHeight="1" x14ac:dyDescent="0.2">
      <c r="A1155" s="37"/>
      <c r="L1155" s="37"/>
    </row>
    <row r="1156" spans="1:12" ht="16.5" customHeight="1" x14ac:dyDescent="0.2">
      <c r="A1156" s="37"/>
      <c r="L1156" s="37"/>
    </row>
    <row r="1157" spans="1:12" ht="16.5" customHeight="1" x14ac:dyDescent="0.2">
      <c r="A1157" s="37"/>
      <c r="L1157" s="37"/>
    </row>
    <row r="1158" spans="1:12" ht="16.5" customHeight="1" x14ac:dyDescent="0.2">
      <c r="A1158" s="37"/>
      <c r="L1158" s="37"/>
    </row>
    <row r="1159" spans="1:12" ht="16.5" customHeight="1" x14ac:dyDescent="0.2">
      <c r="A1159" s="37"/>
      <c r="L1159" s="37"/>
    </row>
    <row r="1160" spans="1:12" ht="16.5" customHeight="1" x14ac:dyDescent="0.2">
      <c r="A1160" s="37"/>
      <c r="L1160" s="37"/>
    </row>
    <row r="1161" spans="1:12" ht="16.5" customHeight="1" x14ac:dyDescent="0.2">
      <c r="A1161" s="37"/>
      <c r="L1161" s="37"/>
    </row>
    <row r="1162" spans="1:12" ht="16.5" customHeight="1" x14ac:dyDescent="0.2">
      <c r="A1162" s="37"/>
      <c r="L1162" s="37"/>
    </row>
    <row r="1163" spans="1:12" ht="16.5" customHeight="1" x14ac:dyDescent="0.2">
      <c r="A1163" s="37"/>
      <c r="L1163" s="37"/>
    </row>
    <row r="1164" spans="1:12" ht="16.5" customHeight="1" x14ac:dyDescent="0.2">
      <c r="A1164" s="37"/>
      <c r="L1164" s="37"/>
    </row>
    <row r="1165" spans="1:12" ht="16.5" customHeight="1" x14ac:dyDescent="0.2">
      <c r="A1165" s="37"/>
      <c r="L1165" s="37"/>
    </row>
    <row r="1166" spans="1:12" ht="16.5" customHeight="1" x14ac:dyDescent="0.2">
      <c r="A1166" s="37"/>
      <c r="L1166" s="37"/>
    </row>
    <row r="1167" spans="1:12" ht="16.5" customHeight="1" x14ac:dyDescent="0.2">
      <c r="A1167" s="37"/>
      <c r="L1167" s="37"/>
    </row>
    <row r="1168" spans="1:12" ht="16.5" customHeight="1" x14ac:dyDescent="0.2">
      <c r="A1168" s="37"/>
      <c r="L1168" s="37"/>
    </row>
    <row r="1169" spans="1:12" ht="16.5" customHeight="1" x14ac:dyDescent="0.2">
      <c r="A1169" s="37"/>
      <c r="L1169" s="37"/>
    </row>
    <row r="1170" spans="1:12" ht="16.5" customHeight="1" x14ac:dyDescent="0.2">
      <c r="A1170" s="37"/>
      <c r="L1170" s="37"/>
    </row>
    <row r="1171" spans="1:12" ht="16.5" customHeight="1" x14ac:dyDescent="0.2">
      <c r="A1171" s="37"/>
      <c r="L1171" s="37"/>
    </row>
    <row r="1172" spans="1:12" ht="16.5" customHeight="1" x14ac:dyDescent="0.2">
      <c r="A1172" s="37"/>
      <c r="L1172" s="37"/>
    </row>
    <row r="1173" spans="1:12" ht="16.5" customHeight="1" x14ac:dyDescent="0.2">
      <c r="A1173" s="37"/>
      <c r="L1173" s="37"/>
    </row>
    <row r="1174" spans="1:12" ht="16.5" customHeight="1" x14ac:dyDescent="0.2">
      <c r="A1174" s="37"/>
      <c r="L1174" s="37"/>
    </row>
    <row r="1175" spans="1:12" ht="16.5" customHeight="1" x14ac:dyDescent="0.2">
      <c r="A1175" s="37"/>
      <c r="L1175" s="37"/>
    </row>
    <row r="1176" spans="1:12" ht="16.5" customHeight="1" x14ac:dyDescent="0.2">
      <c r="A1176" s="37"/>
      <c r="L1176" s="37"/>
    </row>
    <row r="1177" spans="1:12" ht="16.5" customHeight="1" x14ac:dyDescent="0.2">
      <c r="A1177" s="37"/>
      <c r="L1177" s="37"/>
    </row>
    <row r="1178" spans="1:12" ht="16.5" customHeight="1" x14ac:dyDescent="0.2">
      <c r="A1178" s="37"/>
      <c r="L1178" s="37"/>
    </row>
    <row r="1179" spans="1:12" ht="16.5" customHeight="1" x14ac:dyDescent="0.2">
      <c r="A1179" s="37"/>
      <c r="L1179" s="37"/>
    </row>
    <row r="1180" spans="1:12" ht="16.5" customHeight="1" x14ac:dyDescent="0.2">
      <c r="A1180" s="37"/>
      <c r="L1180" s="37"/>
    </row>
    <row r="1181" spans="1:12" ht="16.5" customHeight="1" x14ac:dyDescent="0.2">
      <c r="A1181" s="37"/>
      <c r="L1181" s="37"/>
    </row>
    <row r="1182" spans="1:12" ht="16.5" customHeight="1" x14ac:dyDescent="0.2">
      <c r="A1182" s="37"/>
      <c r="L1182" s="37"/>
    </row>
    <row r="1183" spans="1:12" ht="16.5" customHeight="1" x14ac:dyDescent="0.2">
      <c r="A1183" s="37"/>
      <c r="L1183" s="37"/>
    </row>
    <row r="1184" spans="1:12" ht="16.5" customHeight="1" x14ac:dyDescent="0.2">
      <c r="A1184" s="37"/>
      <c r="L1184" s="37"/>
    </row>
    <row r="1185" spans="1:12" ht="16.5" customHeight="1" x14ac:dyDescent="0.2">
      <c r="A1185" s="37"/>
      <c r="L1185" s="37"/>
    </row>
    <row r="1186" spans="1:12" ht="16.5" customHeight="1" x14ac:dyDescent="0.2">
      <c r="A1186" s="37"/>
      <c r="L1186" s="37"/>
    </row>
    <row r="1187" spans="1:12" ht="16.5" customHeight="1" x14ac:dyDescent="0.2">
      <c r="A1187" s="37"/>
      <c r="L1187" s="37"/>
    </row>
    <row r="1188" spans="1:12" ht="16.5" customHeight="1" x14ac:dyDescent="0.2">
      <c r="A1188" s="37"/>
      <c r="L1188" s="37"/>
    </row>
    <row r="1189" spans="1:12" ht="16.5" customHeight="1" x14ac:dyDescent="0.2">
      <c r="A1189" s="37"/>
      <c r="L1189" s="37"/>
    </row>
    <row r="1190" spans="1:12" ht="16.5" customHeight="1" x14ac:dyDescent="0.2">
      <c r="A1190" s="37"/>
      <c r="L1190" s="37"/>
    </row>
    <row r="1191" spans="1:12" ht="16.5" customHeight="1" x14ac:dyDescent="0.2">
      <c r="A1191" s="37"/>
      <c r="L1191" s="37"/>
    </row>
    <row r="1192" spans="1:12" ht="16.5" customHeight="1" x14ac:dyDescent="0.2">
      <c r="A1192" s="37"/>
      <c r="L1192" s="37"/>
    </row>
    <row r="1193" spans="1:12" ht="16.5" customHeight="1" x14ac:dyDescent="0.2">
      <c r="A1193" s="37"/>
      <c r="L1193" s="37"/>
    </row>
    <row r="1194" spans="1:12" ht="16.5" customHeight="1" x14ac:dyDescent="0.2">
      <c r="A1194" s="37"/>
      <c r="L1194" s="37"/>
    </row>
    <row r="1195" spans="1:12" ht="16.5" customHeight="1" x14ac:dyDescent="0.2">
      <c r="A1195" s="37"/>
      <c r="L1195" s="37"/>
    </row>
    <row r="1196" spans="1:12" ht="16.5" customHeight="1" x14ac:dyDescent="0.2">
      <c r="A1196" s="37"/>
      <c r="L1196" s="37"/>
    </row>
    <row r="1197" spans="1:12" ht="16.5" customHeight="1" x14ac:dyDescent="0.2">
      <c r="A1197" s="37"/>
      <c r="L1197" s="37"/>
    </row>
    <row r="1198" spans="1:12" ht="16.5" customHeight="1" x14ac:dyDescent="0.2">
      <c r="A1198" s="37"/>
      <c r="L1198" s="37"/>
    </row>
    <row r="1199" spans="1:12" ht="16.5" customHeight="1" x14ac:dyDescent="0.2">
      <c r="A1199" s="37"/>
      <c r="L1199" s="37"/>
    </row>
    <row r="1200" spans="1:12" ht="16.5" customHeight="1" x14ac:dyDescent="0.2">
      <c r="A1200" s="37"/>
      <c r="L1200" s="37"/>
    </row>
    <row r="1201" spans="1:12" ht="16.5" customHeight="1" x14ac:dyDescent="0.2">
      <c r="A1201" s="37"/>
      <c r="L1201" s="37"/>
    </row>
    <row r="1202" spans="1:12" ht="16.5" customHeight="1" x14ac:dyDescent="0.2">
      <c r="A1202" s="37"/>
      <c r="L1202" s="37"/>
    </row>
    <row r="1203" spans="1:12" ht="16.5" customHeight="1" x14ac:dyDescent="0.2">
      <c r="A1203" s="37"/>
      <c r="L1203" s="37"/>
    </row>
    <row r="1204" spans="1:12" ht="16.5" customHeight="1" x14ac:dyDescent="0.2">
      <c r="A1204" s="37"/>
      <c r="L1204" s="37"/>
    </row>
    <row r="1205" spans="1:12" ht="16.5" customHeight="1" x14ac:dyDescent="0.2">
      <c r="A1205" s="37"/>
      <c r="L1205" s="37"/>
    </row>
    <row r="1206" spans="1:12" ht="16.5" customHeight="1" x14ac:dyDescent="0.2">
      <c r="A1206" s="37"/>
      <c r="L1206" s="37"/>
    </row>
    <row r="1207" spans="1:12" ht="16.5" customHeight="1" x14ac:dyDescent="0.2">
      <c r="A1207" s="37"/>
      <c r="L1207" s="37"/>
    </row>
    <row r="1208" spans="1:12" ht="16.5" customHeight="1" x14ac:dyDescent="0.2">
      <c r="A1208" s="37"/>
      <c r="L1208" s="37"/>
    </row>
    <row r="1209" spans="1:12" ht="16.5" customHeight="1" x14ac:dyDescent="0.2">
      <c r="A1209" s="37"/>
      <c r="L1209" s="37"/>
    </row>
    <row r="1210" spans="1:12" ht="16.5" customHeight="1" x14ac:dyDescent="0.2">
      <c r="A1210" s="37"/>
      <c r="L1210" s="37"/>
    </row>
    <row r="1211" spans="1:12" ht="16.5" customHeight="1" x14ac:dyDescent="0.2">
      <c r="A1211" s="37"/>
      <c r="L1211" s="37"/>
    </row>
    <row r="1212" spans="1:12" ht="16.5" customHeight="1" x14ac:dyDescent="0.2">
      <c r="A1212" s="37"/>
      <c r="L1212" s="37"/>
    </row>
    <row r="1213" spans="1:12" ht="16.5" customHeight="1" x14ac:dyDescent="0.2">
      <c r="A1213" s="37"/>
      <c r="L1213" s="37"/>
    </row>
    <row r="1214" spans="1:12" ht="16.5" customHeight="1" x14ac:dyDescent="0.2">
      <c r="A1214" s="37"/>
      <c r="L1214" s="37"/>
    </row>
    <row r="1215" spans="1:12" ht="16.5" customHeight="1" x14ac:dyDescent="0.2">
      <c r="A1215" s="37"/>
      <c r="L1215" s="37"/>
    </row>
    <row r="1216" spans="1:12" ht="16.5" customHeight="1" x14ac:dyDescent="0.2">
      <c r="A1216" s="37"/>
      <c r="L1216" s="37"/>
    </row>
    <row r="1217" spans="1:12" ht="16.5" customHeight="1" x14ac:dyDescent="0.2">
      <c r="A1217" s="37"/>
      <c r="L1217" s="37"/>
    </row>
    <row r="1218" spans="1:12" ht="16.5" customHeight="1" x14ac:dyDescent="0.2">
      <c r="A1218" s="37"/>
      <c r="L1218" s="37"/>
    </row>
    <row r="1219" spans="1:12" ht="16.5" customHeight="1" x14ac:dyDescent="0.2">
      <c r="A1219" s="37"/>
      <c r="L1219" s="37"/>
    </row>
    <row r="1220" spans="1:12" ht="16.5" customHeight="1" x14ac:dyDescent="0.2">
      <c r="A1220" s="37"/>
      <c r="L1220" s="37"/>
    </row>
    <row r="1221" spans="1:12" ht="16.5" customHeight="1" x14ac:dyDescent="0.2">
      <c r="A1221" s="37"/>
      <c r="L1221" s="37"/>
    </row>
    <row r="1222" spans="1:12" ht="16.5" customHeight="1" x14ac:dyDescent="0.2">
      <c r="A1222" s="37"/>
      <c r="L1222" s="37"/>
    </row>
    <row r="1223" spans="1:12" ht="16.5" customHeight="1" x14ac:dyDescent="0.2">
      <c r="A1223" s="37"/>
      <c r="L1223" s="37"/>
    </row>
    <row r="1224" spans="1:12" ht="16.5" customHeight="1" x14ac:dyDescent="0.2">
      <c r="A1224" s="37"/>
      <c r="L1224" s="37"/>
    </row>
    <row r="1225" spans="1:12" ht="16.5" customHeight="1" x14ac:dyDescent="0.2">
      <c r="A1225" s="37"/>
      <c r="L1225" s="37"/>
    </row>
    <row r="1226" spans="1:12" ht="16.5" customHeight="1" x14ac:dyDescent="0.2">
      <c r="A1226" s="37"/>
      <c r="L1226" s="37"/>
    </row>
    <row r="1227" spans="1:12" ht="16.5" customHeight="1" x14ac:dyDescent="0.2">
      <c r="A1227" s="37"/>
      <c r="L1227" s="37"/>
    </row>
    <row r="1228" spans="1:12" ht="16.5" customHeight="1" x14ac:dyDescent="0.2">
      <c r="A1228" s="37"/>
      <c r="L1228" s="37"/>
    </row>
    <row r="1229" spans="1:12" ht="16.5" customHeight="1" x14ac:dyDescent="0.2">
      <c r="A1229" s="37"/>
      <c r="L1229" s="37"/>
    </row>
    <row r="1230" spans="1:12" ht="16.5" customHeight="1" x14ac:dyDescent="0.2">
      <c r="A1230" s="37"/>
      <c r="L1230" s="37"/>
    </row>
    <row r="1231" spans="1:12" ht="16.5" customHeight="1" x14ac:dyDescent="0.2">
      <c r="A1231" s="37"/>
      <c r="L1231" s="37"/>
    </row>
    <row r="1232" spans="1:12" ht="16.5" customHeight="1" x14ac:dyDescent="0.2">
      <c r="A1232" s="37"/>
      <c r="L1232" s="37"/>
    </row>
    <row r="1233" spans="1:12" ht="16.5" customHeight="1" x14ac:dyDescent="0.2">
      <c r="A1233" s="37"/>
      <c r="L1233" s="37"/>
    </row>
    <row r="1234" spans="1:12" ht="16.5" customHeight="1" x14ac:dyDescent="0.2">
      <c r="A1234" s="37"/>
      <c r="L1234" s="37"/>
    </row>
    <row r="1235" spans="1:12" ht="16.5" customHeight="1" x14ac:dyDescent="0.2">
      <c r="A1235" s="37"/>
      <c r="L1235" s="37"/>
    </row>
    <row r="1236" spans="1:12" ht="16.5" customHeight="1" x14ac:dyDescent="0.2">
      <c r="A1236" s="37"/>
      <c r="L1236" s="37"/>
    </row>
    <row r="1237" spans="1:12" ht="16.5" customHeight="1" x14ac:dyDescent="0.2">
      <c r="A1237" s="37"/>
      <c r="L1237" s="37"/>
    </row>
    <row r="1238" spans="1:12" ht="16.5" customHeight="1" x14ac:dyDescent="0.2">
      <c r="A1238" s="37"/>
      <c r="L1238" s="37"/>
    </row>
    <row r="1239" spans="1:12" ht="16.5" customHeight="1" x14ac:dyDescent="0.2">
      <c r="A1239" s="37"/>
      <c r="L1239" s="37"/>
    </row>
    <row r="1240" spans="1:12" ht="16.5" customHeight="1" x14ac:dyDescent="0.2">
      <c r="A1240" s="37"/>
      <c r="L1240" s="37"/>
    </row>
    <row r="1241" spans="1:12" ht="16.5" customHeight="1" x14ac:dyDescent="0.2">
      <c r="A1241" s="37"/>
      <c r="L1241" s="37"/>
    </row>
    <row r="1242" spans="1:12" ht="16.5" customHeight="1" x14ac:dyDescent="0.2">
      <c r="A1242" s="37"/>
      <c r="L1242" s="37"/>
    </row>
    <row r="1243" spans="1:12" ht="16.5" customHeight="1" x14ac:dyDescent="0.2">
      <c r="A1243" s="37"/>
      <c r="L1243" s="37"/>
    </row>
    <row r="1244" spans="1:12" ht="16.5" customHeight="1" x14ac:dyDescent="0.2">
      <c r="A1244" s="37"/>
      <c r="L1244" s="37"/>
    </row>
    <row r="1245" spans="1:12" ht="16.5" customHeight="1" x14ac:dyDescent="0.2">
      <c r="A1245" s="37"/>
      <c r="L1245" s="37"/>
    </row>
    <row r="1246" spans="1:12" ht="16.5" customHeight="1" x14ac:dyDescent="0.2">
      <c r="A1246" s="37"/>
      <c r="L1246" s="37"/>
    </row>
    <row r="1247" spans="1:12" ht="16.5" customHeight="1" x14ac:dyDescent="0.2">
      <c r="A1247" s="37"/>
      <c r="L1247" s="37"/>
    </row>
    <row r="1248" spans="1:12" ht="16.5" customHeight="1" x14ac:dyDescent="0.2">
      <c r="A1248" s="37"/>
      <c r="L1248" s="37"/>
    </row>
    <row r="1249" spans="1:12" ht="16.5" customHeight="1" x14ac:dyDescent="0.2">
      <c r="A1249" s="37"/>
      <c r="L1249" s="37"/>
    </row>
    <row r="1250" spans="1:12" ht="16.5" customHeight="1" x14ac:dyDescent="0.2">
      <c r="A1250" s="37"/>
      <c r="L1250" s="37"/>
    </row>
    <row r="1251" spans="1:12" ht="16.5" customHeight="1" x14ac:dyDescent="0.2">
      <c r="A1251" s="37"/>
      <c r="L1251" s="37"/>
    </row>
    <row r="1252" spans="1:12" ht="16.5" customHeight="1" x14ac:dyDescent="0.2">
      <c r="A1252" s="37"/>
      <c r="L1252" s="37"/>
    </row>
    <row r="1253" spans="1:12" ht="16.5" customHeight="1" x14ac:dyDescent="0.2">
      <c r="A1253" s="37"/>
      <c r="L1253" s="37"/>
    </row>
    <row r="1254" spans="1:12" ht="16.5" customHeight="1" x14ac:dyDescent="0.2">
      <c r="A1254" s="37"/>
      <c r="L1254" s="37"/>
    </row>
    <row r="1255" spans="1:12" ht="16.5" customHeight="1" x14ac:dyDescent="0.2">
      <c r="A1255" s="37"/>
      <c r="L1255" s="37"/>
    </row>
    <row r="1256" spans="1:12" ht="16.5" customHeight="1" x14ac:dyDescent="0.2">
      <c r="A1256" s="37"/>
      <c r="L1256" s="37"/>
    </row>
    <row r="1257" spans="1:12" ht="16.5" customHeight="1" x14ac:dyDescent="0.2">
      <c r="A1257" s="37"/>
      <c r="L1257" s="37"/>
    </row>
    <row r="1258" spans="1:12" ht="16.5" customHeight="1" x14ac:dyDescent="0.2">
      <c r="A1258" s="37"/>
      <c r="L1258" s="37"/>
    </row>
    <row r="1259" spans="1:12" ht="16.5" customHeight="1" x14ac:dyDescent="0.2">
      <c r="A1259" s="37"/>
      <c r="L1259" s="37"/>
    </row>
    <row r="1260" spans="1:12" ht="16.5" customHeight="1" x14ac:dyDescent="0.2">
      <c r="A1260" s="37"/>
      <c r="L1260" s="37"/>
    </row>
    <row r="1261" spans="1:12" ht="16.5" customHeight="1" x14ac:dyDescent="0.2">
      <c r="A1261" s="37"/>
      <c r="L1261" s="37"/>
    </row>
    <row r="1262" spans="1:12" ht="16.5" customHeight="1" x14ac:dyDescent="0.2">
      <c r="A1262" s="37"/>
      <c r="L1262" s="37"/>
    </row>
    <row r="1263" spans="1:12" ht="16.5" customHeight="1" x14ac:dyDescent="0.2">
      <c r="A1263" s="37"/>
      <c r="L1263" s="37"/>
    </row>
    <row r="1264" spans="1:12" ht="16.5" customHeight="1" x14ac:dyDescent="0.2">
      <c r="A1264" s="37"/>
      <c r="L1264" s="37"/>
    </row>
    <row r="1265" spans="1:12" ht="16.5" customHeight="1" x14ac:dyDescent="0.2">
      <c r="A1265" s="37"/>
      <c r="L1265" s="37"/>
    </row>
    <row r="1266" spans="1:12" ht="16.5" customHeight="1" x14ac:dyDescent="0.2">
      <c r="A1266" s="37"/>
      <c r="L1266" s="37"/>
    </row>
    <row r="1267" spans="1:12" ht="16.5" customHeight="1" x14ac:dyDescent="0.2">
      <c r="A1267" s="37"/>
      <c r="L1267" s="37"/>
    </row>
    <row r="1268" spans="1:12" ht="16.5" customHeight="1" x14ac:dyDescent="0.2">
      <c r="A1268" s="37"/>
      <c r="L1268" s="37"/>
    </row>
    <row r="1269" spans="1:12" ht="16.5" customHeight="1" x14ac:dyDescent="0.2">
      <c r="A1269" s="37"/>
      <c r="L1269" s="37"/>
    </row>
    <row r="1270" spans="1:12" ht="16.5" customHeight="1" x14ac:dyDescent="0.2">
      <c r="A1270" s="37"/>
      <c r="L1270" s="37"/>
    </row>
    <row r="1271" spans="1:12" ht="16.5" customHeight="1" x14ac:dyDescent="0.2">
      <c r="A1271" s="37"/>
      <c r="L1271" s="37"/>
    </row>
    <row r="1272" spans="1:12" ht="16.5" customHeight="1" x14ac:dyDescent="0.2">
      <c r="A1272" s="37"/>
      <c r="L1272" s="37"/>
    </row>
    <row r="1273" spans="1:12" ht="16.5" customHeight="1" x14ac:dyDescent="0.2">
      <c r="A1273" s="37"/>
      <c r="L1273" s="37"/>
    </row>
    <row r="1274" spans="1:12" ht="16.5" customHeight="1" x14ac:dyDescent="0.2">
      <c r="A1274" s="37"/>
      <c r="L1274" s="37"/>
    </row>
    <row r="1275" spans="1:12" ht="16.5" customHeight="1" x14ac:dyDescent="0.2">
      <c r="A1275" s="37"/>
      <c r="L1275" s="37"/>
    </row>
    <row r="1276" spans="1:12" ht="16.5" customHeight="1" x14ac:dyDescent="0.2">
      <c r="A1276" s="37"/>
      <c r="L1276" s="37"/>
    </row>
    <row r="1277" spans="1:12" ht="16.5" customHeight="1" x14ac:dyDescent="0.2">
      <c r="A1277" s="37"/>
      <c r="L1277" s="37"/>
    </row>
    <row r="1278" spans="1:12" ht="16.5" customHeight="1" x14ac:dyDescent="0.2">
      <c r="A1278" s="37"/>
      <c r="L1278" s="37"/>
    </row>
    <row r="1279" spans="1:12" ht="16.5" customHeight="1" x14ac:dyDescent="0.2">
      <c r="A1279" s="37"/>
      <c r="L1279" s="37"/>
    </row>
    <row r="1280" spans="1:12" ht="16.5" customHeight="1" x14ac:dyDescent="0.2">
      <c r="A1280" s="37"/>
      <c r="L1280" s="37"/>
    </row>
    <row r="1281" spans="1:12" ht="16.5" customHeight="1" x14ac:dyDescent="0.2">
      <c r="A1281" s="37"/>
      <c r="L1281" s="37"/>
    </row>
    <row r="1282" spans="1:12" ht="16.5" customHeight="1" x14ac:dyDescent="0.2">
      <c r="A1282" s="37"/>
      <c r="L1282" s="37"/>
    </row>
    <row r="1283" spans="1:12" ht="16.5" customHeight="1" x14ac:dyDescent="0.2">
      <c r="A1283" s="37"/>
      <c r="L1283" s="37"/>
    </row>
    <row r="1284" spans="1:12" ht="16.5" customHeight="1" x14ac:dyDescent="0.2">
      <c r="A1284" s="37"/>
      <c r="L1284" s="37"/>
    </row>
    <row r="1285" spans="1:12" ht="16.5" customHeight="1" x14ac:dyDescent="0.2">
      <c r="A1285" s="37"/>
      <c r="L1285" s="37"/>
    </row>
    <row r="1286" spans="1:12" ht="16.5" customHeight="1" x14ac:dyDescent="0.2">
      <c r="A1286" s="37"/>
      <c r="L1286" s="37"/>
    </row>
    <row r="1287" spans="1:12" ht="16.5" customHeight="1" x14ac:dyDescent="0.2">
      <c r="A1287" s="37"/>
      <c r="L1287" s="37"/>
    </row>
    <row r="1288" spans="1:12" ht="16.5" customHeight="1" x14ac:dyDescent="0.2">
      <c r="A1288" s="37"/>
      <c r="L1288" s="37"/>
    </row>
    <row r="1289" spans="1:12" ht="16.5" customHeight="1" x14ac:dyDescent="0.2">
      <c r="A1289" s="37"/>
      <c r="L1289" s="37"/>
    </row>
    <row r="1290" spans="1:12" ht="16.5" customHeight="1" x14ac:dyDescent="0.2">
      <c r="A1290" s="37"/>
      <c r="L1290" s="37"/>
    </row>
    <row r="1291" spans="1:12" ht="16.5" customHeight="1" x14ac:dyDescent="0.2">
      <c r="A1291" s="37"/>
      <c r="L1291" s="37"/>
    </row>
    <row r="1292" spans="1:12" ht="16.5" customHeight="1" x14ac:dyDescent="0.2">
      <c r="A1292" s="37"/>
      <c r="L1292" s="37"/>
    </row>
    <row r="1293" spans="1:12" ht="16.5" customHeight="1" x14ac:dyDescent="0.2">
      <c r="A1293" s="37"/>
      <c r="L1293" s="37"/>
    </row>
    <row r="1294" spans="1:12" ht="16.5" customHeight="1" x14ac:dyDescent="0.2">
      <c r="A1294" s="37"/>
      <c r="L1294" s="37"/>
    </row>
    <row r="1295" spans="1:12" ht="16.5" customHeight="1" x14ac:dyDescent="0.2">
      <c r="A1295" s="37"/>
      <c r="L1295" s="37"/>
    </row>
    <row r="1296" spans="1:12" ht="16.5" customHeight="1" x14ac:dyDescent="0.2">
      <c r="A1296" s="37"/>
      <c r="L1296" s="37"/>
    </row>
    <row r="1297" spans="1:12" ht="16.5" customHeight="1" x14ac:dyDescent="0.2">
      <c r="A1297" s="37"/>
      <c r="L1297" s="37"/>
    </row>
    <row r="1298" spans="1:12" ht="16.5" customHeight="1" x14ac:dyDescent="0.2">
      <c r="A1298" s="37"/>
      <c r="L1298" s="37"/>
    </row>
    <row r="1299" spans="1:12" ht="16.5" customHeight="1" x14ac:dyDescent="0.2">
      <c r="A1299" s="37"/>
      <c r="L1299" s="37"/>
    </row>
    <row r="1300" spans="1:12" ht="16.5" customHeight="1" x14ac:dyDescent="0.2">
      <c r="A1300" s="37"/>
      <c r="L1300" s="37"/>
    </row>
    <row r="1301" spans="1:12" ht="16.5" customHeight="1" x14ac:dyDescent="0.2">
      <c r="A1301" s="37"/>
      <c r="L1301" s="37"/>
    </row>
    <row r="1302" spans="1:12" ht="16.5" customHeight="1" x14ac:dyDescent="0.2">
      <c r="A1302" s="37"/>
      <c r="L1302" s="37"/>
    </row>
    <row r="1303" spans="1:12" ht="16.5" customHeight="1" x14ac:dyDescent="0.2">
      <c r="A1303" s="37"/>
      <c r="L1303" s="37"/>
    </row>
    <row r="1304" spans="1:12" ht="16.5" customHeight="1" x14ac:dyDescent="0.2">
      <c r="A1304" s="37"/>
      <c r="L1304" s="37"/>
    </row>
    <row r="1305" spans="1:12" ht="16.5" customHeight="1" x14ac:dyDescent="0.2">
      <c r="A1305" s="37"/>
      <c r="L1305" s="37"/>
    </row>
    <row r="1306" spans="1:12" ht="16.5" customHeight="1" x14ac:dyDescent="0.2">
      <c r="A1306" s="37"/>
      <c r="L1306" s="37"/>
    </row>
    <row r="1307" spans="1:12" ht="16.5" customHeight="1" x14ac:dyDescent="0.2">
      <c r="A1307" s="37"/>
      <c r="L1307" s="37"/>
    </row>
    <row r="1308" spans="1:12" ht="16.5" customHeight="1" x14ac:dyDescent="0.2">
      <c r="A1308" s="37"/>
      <c r="L1308" s="37"/>
    </row>
    <row r="1309" spans="1:12" ht="16.5" customHeight="1" x14ac:dyDescent="0.2">
      <c r="A1309" s="37"/>
      <c r="L1309" s="37"/>
    </row>
    <row r="1310" spans="1:12" ht="16.5" customHeight="1" x14ac:dyDescent="0.2">
      <c r="A1310" s="37"/>
      <c r="L1310" s="37"/>
    </row>
    <row r="1311" spans="1:12" ht="16.5" customHeight="1" x14ac:dyDescent="0.2">
      <c r="A1311" s="37"/>
      <c r="L1311" s="37"/>
    </row>
    <row r="1312" spans="1:12" ht="16.5" customHeight="1" x14ac:dyDescent="0.2">
      <c r="A1312" s="37"/>
      <c r="L1312" s="37"/>
    </row>
    <row r="1313" spans="1:12" ht="16.5" customHeight="1" x14ac:dyDescent="0.2">
      <c r="A1313" s="37"/>
      <c r="L1313" s="37"/>
    </row>
    <row r="1314" spans="1:12" ht="16.5" customHeight="1" x14ac:dyDescent="0.2">
      <c r="A1314" s="37"/>
      <c r="L1314" s="37"/>
    </row>
    <row r="1315" spans="1:12" ht="16.5" customHeight="1" x14ac:dyDescent="0.2">
      <c r="A1315" s="37"/>
      <c r="L1315" s="37"/>
    </row>
    <row r="1316" spans="1:12" ht="16.5" customHeight="1" x14ac:dyDescent="0.2">
      <c r="A1316" s="37"/>
      <c r="L1316" s="37"/>
    </row>
    <row r="1317" spans="1:12" ht="16.5" customHeight="1" x14ac:dyDescent="0.2">
      <c r="A1317" s="37"/>
      <c r="L1317" s="37"/>
    </row>
    <row r="1318" spans="1:12" ht="16.5" customHeight="1" x14ac:dyDescent="0.2">
      <c r="A1318" s="37"/>
      <c r="L1318" s="37"/>
    </row>
    <row r="1319" spans="1:12" ht="16.5" customHeight="1" x14ac:dyDescent="0.2">
      <c r="A1319" s="37"/>
      <c r="L1319" s="37"/>
    </row>
    <row r="1320" spans="1:12" ht="16.5" customHeight="1" x14ac:dyDescent="0.2">
      <c r="A1320" s="37"/>
      <c r="L1320" s="37"/>
    </row>
    <row r="1321" spans="1:12" ht="16.5" customHeight="1" x14ac:dyDescent="0.2">
      <c r="A1321" s="37"/>
      <c r="L1321" s="37"/>
    </row>
    <row r="1322" spans="1:12" ht="16.5" customHeight="1" x14ac:dyDescent="0.2">
      <c r="A1322" s="37"/>
      <c r="L1322" s="37"/>
    </row>
    <row r="1323" spans="1:12" ht="16.5" customHeight="1" x14ac:dyDescent="0.2">
      <c r="A1323" s="37"/>
      <c r="L1323" s="37"/>
    </row>
    <row r="1324" spans="1:12" ht="16.5" customHeight="1" x14ac:dyDescent="0.2">
      <c r="A1324" s="37"/>
      <c r="L1324" s="37"/>
    </row>
    <row r="1325" spans="1:12" ht="16.5" customHeight="1" x14ac:dyDescent="0.2">
      <c r="A1325" s="37"/>
      <c r="L1325" s="37"/>
    </row>
    <row r="1326" spans="1:12" ht="16.5" customHeight="1" x14ac:dyDescent="0.2">
      <c r="A1326" s="37"/>
      <c r="L1326" s="37"/>
    </row>
    <row r="1327" spans="1:12" ht="16.5" customHeight="1" x14ac:dyDescent="0.2">
      <c r="A1327" s="37"/>
      <c r="L1327" s="37"/>
    </row>
    <row r="1328" spans="1:12" ht="16.5" customHeight="1" x14ac:dyDescent="0.2">
      <c r="A1328" s="37"/>
      <c r="L1328" s="37"/>
    </row>
    <row r="1329" spans="1:12" ht="16.5" customHeight="1" x14ac:dyDescent="0.2">
      <c r="A1329" s="37"/>
      <c r="L1329" s="37"/>
    </row>
    <row r="1330" spans="1:12" ht="16.5" customHeight="1" x14ac:dyDescent="0.2">
      <c r="A1330" s="37"/>
      <c r="L1330" s="37"/>
    </row>
    <row r="1331" spans="1:12" ht="16.5" customHeight="1" x14ac:dyDescent="0.2">
      <c r="A1331" s="37"/>
      <c r="L1331" s="37"/>
    </row>
    <row r="1332" spans="1:12" ht="16.5" customHeight="1" x14ac:dyDescent="0.2">
      <c r="A1332" s="37"/>
      <c r="L1332" s="37"/>
    </row>
    <row r="1333" spans="1:12" ht="16.5" customHeight="1" x14ac:dyDescent="0.2">
      <c r="A1333" s="37"/>
      <c r="L1333" s="37"/>
    </row>
    <row r="1334" spans="1:12" ht="16.5" customHeight="1" x14ac:dyDescent="0.2">
      <c r="A1334" s="37"/>
      <c r="L1334" s="37"/>
    </row>
    <row r="1335" spans="1:12" ht="16.5" customHeight="1" x14ac:dyDescent="0.2">
      <c r="A1335" s="37"/>
      <c r="L1335" s="37"/>
    </row>
    <row r="1336" spans="1:12" ht="16.5" customHeight="1" x14ac:dyDescent="0.2">
      <c r="A1336" s="37"/>
      <c r="L1336" s="37"/>
    </row>
    <row r="1337" spans="1:12" ht="16.5" customHeight="1" x14ac:dyDescent="0.2">
      <c r="A1337" s="37"/>
      <c r="L1337" s="37"/>
    </row>
    <row r="1338" spans="1:12" ht="16.5" customHeight="1" x14ac:dyDescent="0.2">
      <c r="A1338" s="37"/>
      <c r="L1338" s="37"/>
    </row>
    <row r="1339" spans="1:12" ht="16.5" customHeight="1" x14ac:dyDescent="0.2">
      <c r="A1339" s="37"/>
      <c r="L1339" s="37"/>
    </row>
    <row r="1340" spans="1:12" ht="16.5" customHeight="1" x14ac:dyDescent="0.2">
      <c r="A1340" s="37"/>
      <c r="L1340" s="37"/>
    </row>
    <row r="1341" spans="1:12" ht="16.5" customHeight="1" x14ac:dyDescent="0.2">
      <c r="A1341" s="37"/>
      <c r="L1341" s="37"/>
    </row>
    <row r="1342" spans="1:12" ht="16.5" customHeight="1" x14ac:dyDescent="0.2">
      <c r="A1342" s="37"/>
      <c r="L1342" s="37"/>
    </row>
    <row r="1343" spans="1:12" ht="16.5" customHeight="1" x14ac:dyDescent="0.2">
      <c r="A1343" s="37"/>
      <c r="L1343" s="37"/>
    </row>
    <row r="1344" spans="1:12" ht="16.5" customHeight="1" x14ac:dyDescent="0.2">
      <c r="A1344" s="37"/>
      <c r="L1344" s="37"/>
    </row>
    <row r="1345" spans="1:12" ht="16.5" customHeight="1" x14ac:dyDescent="0.2">
      <c r="A1345" s="37"/>
      <c r="L1345" s="37"/>
    </row>
    <row r="1346" spans="1:12" ht="16.5" customHeight="1" x14ac:dyDescent="0.2">
      <c r="A1346" s="37"/>
      <c r="L1346" s="37"/>
    </row>
    <row r="1347" spans="1:12" ht="16.5" customHeight="1" x14ac:dyDescent="0.2">
      <c r="A1347" s="37"/>
      <c r="L1347" s="37"/>
    </row>
    <row r="1348" spans="1:12" ht="16.5" customHeight="1" x14ac:dyDescent="0.2">
      <c r="A1348" s="37"/>
      <c r="L1348" s="37"/>
    </row>
    <row r="1349" spans="1:12" ht="16.5" customHeight="1" x14ac:dyDescent="0.2">
      <c r="A1349" s="37"/>
      <c r="L1349" s="37"/>
    </row>
    <row r="1350" spans="1:12" ht="16.5" customHeight="1" x14ac:dyDescent="0.2">
      <c r="A1350" s="37"/>
      <c r="L1350" s="37"/>
    </row>
    <row r="1351" spans="1:12" ht="16.5" customHeight="1" x14ac:dyDescent="0.2">
      <c r="A1351" s="37"/>
      <c r="L1351" s="37"/>
    </row>
    <row r="1352" spans="1:12" ht="16.5" customHeight="1" x14ac:dyDescent="0.2">
      <c r="A1352" s="37"/>
      <c r="L1352" s="37"/>
    </row>
    <row r="1353" spans="1:12" ht="16.5" customHeight="1" x14ac:dyDescent="0.2">
      <c r="A1353" s="37"/>
      <c r="L1353" s="37"/>
    </row>
    <row r="1354" spans="1:12" ht="16.5" customHeight="1" x14ac:dyDescent="0.2">
      <c r="A1354" s="37"/>
      <c r="L1354" s="37"/>
    </row>
    <row r="1355" spans="1:12" ht="16.5" customHeight="1" x14ac:dyDescent="0.2">
      <c r="A1355" s="37"/>
      <c r="L1355" s="37"/>
    </row>
    <row r="1356" spans="1:12" ht="16.5" customHeight="1" x14ac:dyDescent="0.2">
      <c r="A1356" s="37"/>
      <c r="L1356" s="37"/>
    </row>
    <row r="1357" spans="1:12" ht="16.5" customHeight="1" x14ac:dyDescent="0.2">
      <c r="A1357" s="37"/>
      <c r="L1357" s="37"/>
    </row>
    <row r="1358" spans="1:12" ht="16.5" customHeight="1" x14ac:dyDescent="0.2">
      <c r="A1358" s="37"/>
      <c r="L1358" s="37"/>
    </row>
    <row r="1359" spans="1:12" ht="16.5" customHeight="1" x14ac:dyDescent="0.2">
      <c r="A1359" s="37"/>
      <c r="L1359" s="37"/>
    </row>
    <row r="1360" spans="1:12" ht="16.5" customHeight="1" x14ac:dyDescent="0.2">
      <c r="A1360" s="37"/>
      <c r="L1360" s="37"/>
    </row>
    <row r="1361" spans="1:12" ht="16.5" customHeight="1" x14ac:dyDescent="0.2">
      <c r="A1361" s="37"/>
      <c r="L1361" s="37"/>
    </row>
    <row r="1362" spans="1:12" ht="16.5" customHeight="1" x14ac:dyDescent="0.2">
      <c r="A1362" s="37"/>
      <c r="L1362" s="37"/>
    </row>
    <row r="1363" spans="1:12" ht="16.5" customHeight="1" x14ac:dyDescent="0.2">
      <c r="A1363" s="37"/>
      <c r="L1363" s="37"/>
    </row>
    <row r="1364" spans="1:12" ht="16.5" customHeight="1" x14ac:dyDescent="0.2">
      <c r="A1364" s="37"/>
      <c r="L1364" s="37"/>
    </row>
    <row r="1365" spans="1:12" ht="16.5" customHeight="1" x14ac:dyDescent="0.2">
      <c r="A1365" s="37"/>
      <c r="L1365" s="37"/>
    </row>
    <row r="1366" spans="1:12" ht="16.5" customHeight="1" x14ac:dyDescent="0.2">
      <c r="A1366" s="37"/>
      <c r="L1366" s="37"/>
    </row>
    <row r="1367" spans="1:12" ht="16.5" customHeight="1" x14ac:dyDescent="0.2">
      <c r="A1367" s="37"/>
      <c r="L1367" s="37"/>
    </row>
    <row r="1368" spans="1:12" ht="16.5" customHeight="1" x14ac:dyDescent="0.2">
      <c r="A1368" s="37"/>
      <c r="L1368" s="37"/>
    </row>
    <row r="1369" spans="1:12" ht="16.5" customHeight="1" x14ac:dyDescent="0.2">
      <c r="A1369" s="37"/>
      <c r="L1369" s="37"/>
    </row>
    <row r="1370" spans="1:12" ht="16.5" customHeight="1" x14ac:dyDescent="0.2">
      <c r="A1370" s="37"/>
      <c r="L1370" s="37"/>
    </row>
    <row r="1371" spans="1:12" ht="16.5" customHeight="1" x14ac:dyDescent="0.2">
      <c r="A1371" s="37"/>
      <c r="L1371" s="37"/>
    </row>
    <row r="1372" spans="1:12" ht="16.5" customHeight="1" x14ac:dyDescent="0.2">
      <c r="A1372" s="37"/>
      <c r="L1372" s="37"/>
    </row>
    <row r="1373" spans="1:12" ht="16.5" customHeight="1" x14ac:dyDescent="0.2">
      <c r="A1373" s="37"/>
      <c r="L1373" s="37"/>
    </row>
    <row r="1374" spans="1:12" ht="16.5" customHeight="1" x14ac:dyDescent="0.2">
      <c r="A1374" s="37"/>
      <c r="L1374" s="37"/>
    </row>
    <row r="1375" spans="1:12" ht="16.5" customHeight="1" x14ac:dyDescent="0.2">
      <c r="A1375" s="37"/>
      <c r="L1375" s="37"/>
    </row>
    <row r="1376" spans="1:12" ht="16.5" customHeight="1" x14ac:dyDescent="0.2">
      <c r="A1376" s="37"/>
      <c r="L1376" s="37"/>
    </row>
    <row r="1377" spans="1:12" ht="16.5" customHeight="1" x14ac:dyDescent="0.2">
      <c r="A1377" s="37"/>
      <c r="L1377" s="37"/>
    </row>
    <row r="1378" spans="1:12" ht="16.5" customHeight="1" x14ac:dyDescent="0.2">
      <c r="A1378" s="37"/>
      <c r="L1378" s="37"/>
    </row>
    <row r="1379" spans="1:12" ht="16.5" customHeight="1" x14ac:dyDescent="0.2">
      <c r="A1379" s="37"/>
      <c r="L1379" s="37"/>
    </row>
    <row r="1380" spans="1:12" ht="16.5" customHeight="1" x14ac:dyDescent="0.2">
      <c r="A1380" s="37"/>
      <c r="L1380" s="37"/>
    </row>
    <row r="1381" spans="1:12" ht="16.5" customHeight="1" x14ac:dyDescent="0.2">
      <c r="A1381" s="37"/>
      <c r="L1381" s="37"/>
    </row>
    <row r="1382" spans="1:12" ht="16.5" customHeight="1" x14ac:dyDescent="0.2">
      <c r="A1382" s="37"/>
      <c r="L1382" s="37"/>
    </row>
    <row r="1383" spans="1:12" ht="16.5" customHeight="1" x14ac:dyDescent="0.2">
      <c r="A1383" s="37"/>
      <c r="L1383" s="37"/>
    </row>
    <row r="1384" spans="1:12" ht="16.5" customHeight="1" x14ac:dyDescent="0.2">
      <c r="A1384" s="37"/>
      <c r="L1384" s="37"/>
    </row>
    <row r="1385" spans="1:12" ht="16.5" customHeight="1" x14ac:dyDescent="0.2">
      <c r="A1385" s="37"/>
      <c r="L1385" s="37"/>
    </row>
    <row r="1386" spans="1:12" ht="16.5" customHeight="1" x14ac:dyDescent="0.2">
      <c r="A1386" s="37"/>
      <c r="L1386" s="37"/>
    </row>
    <row r="1387" spans="1:12" ht="16.5" customHeight="1" x14ac:dyDescent="0.2">
      <c r="A1387" s="37"/>
      <c r="L1387" s="37"/>
    </row>
    <row r="1388" spans="1:12" ht="16.5" customHeight="1" x14ac:dyDescent="0.2">
      <c r="A1388" s="37"/>
      <c r="L1388" s="37"/>
    </row>
    <row r="1389" spans="1:12" ht="16.5" customHeight="1" x14ac:dyDescent="0.2">
      <c r="A1389" s="37"/>
      <c r="L1389" s="37"/>
    </row>
    <row r="1390" spans="1:12" ht="16.5" customHeight="1" x14ac:dyDescent="0.2">
      <c r="A1390" s="37"/>
      <c r="L1390" s="37"/>
    </row>
    <row r="1391" spans="1:12" ht="16.5" customHeight="1" x14ac:dyDescent="0.2">
      <c r="A1391" s="37"/>
      <c r="L1391" s="37"/>
    </row>
    <row r="1392" spans="1:12" ht="16.5" customHeight="1" x14ac:dyDescent="0.2">
      <c r="A1392" s="37"/>
      <c r="L1392" s="37"/>
    </row>
    <row r="1393" spans="1:12" ht="16.5" customHeight="1" x14ac:dyDescent="0.2">
      <c r="A1393" s="37"/>
      <c r="L1393" s="37"/>
    </row>
    <row r="1394" spans="1:12" ht="16.5" customHeight="1" x14ac:dyDescent="0.2">
      <c r="A1394" s="37"/>
      <c r="L1394" s="37"/>
    </row>
    <row r="1395" spans="1:12" ht="16.5" customHeight="1" x14ac:dyDescent="0.2">
      <c r="A1395" s="37"/>
      <c r="L1395" s="37"/>
    </row>
    <row r="1396" spans="1:12" ht="16.5" customHeight="1" x14ac:dyDescent="0.2">
      <c r="A1396" s="37"/>
      <c r="L1396" s="37"/>
    </row>
    <row r="1397" spans="1:12" ht="16.5" customHeight="1" x14ac:dyDescent="0.2">
      <c r="A1397" s="37"/>
      <c r="L1397" s="37"/>
    </row>
    <row r="1398" spans="1:12" ht="16.5" customHeight="1" x14ac:dyDescent="0.2">
      <c r="A1398" s="37"/>
      <c r="L1398" s="37"/>
    </row>
    <row r="1399" spans="1:12" ht="16.5" customHeight="1" x14ac:dyDescent="0.2">
      <c r="A1399" s="37"/>
      <c r="L1399" s="37"/>
    </row>
    <row r="1400" spans="1:12" ht="16.5" customHeight="1" x14ac:dyDescent="0.2">
      <c r="A1400" s="37"/>
      <c r="L1400" s="37"/>
    </row>
    <row r="1401" spans="1:12" ht="16.5" customHeight="1" x14ac:dyDescent="0.2">
      <c r="A1401" s="37"/>
      <c r="L1401" s="37"/>
    </row>
    <row r="1402" spans="1:12" ht="16.5" customHeight="1" x14ac:dyDescent="0.2">
      <c r="A1402" s="37"/>
      <c r="L1402" s="37"/>
    </row>
    <row r="1403" spans="1:12" ht="16.5" customHeight="1" x14ac:dyDescent="0.2">
      <c r="A1403" s="37"/>
      <c r="L1403" s="37"/>
    </row>
    <row r="1404" spans="1:12" ht="16.5" customHeight="1" x14ac:dyDescent="0.2">
      <c r="A1404" s="37"/>
      <c r="L1404" s="37"/>
    </row>
    <row r="1405" spans="1:12" ht="16.5" customHeight="1" x14ac:dyDescent="0.2">
      <c r="A1405" s="37"/>
      <c r="L1405" s="37"/>
    </row>
    <row r="1406" spans="1:12" ht="16.5" customHeight="1" x14ac:dyDescent="0.2">
      <c r="A1406" s="37"/>
      <c r="L1406" s="37"/>
    </row>
    <row r="1407" spans="1:12" ht="16.5" customHeight="1" x14ac:dyDescent="0.2">
      <c r="A1407" s="37"/>
      <c r="L1407" s="37"/>
    </row>
    <row r="1408" spans="1:12" ht="16.5" customHeight="1" x14ac:dyDescent="0.2">
      <c r="A1408" s="37"/>
      <c r="L1408" s="37"/>
    </row>
    <row r="1409" spans="1:12" ht="16.5" customHeight="1" x14ac:dyDescent="0.2">
      <c r="A1409" s="37"/>
      <c r="L1409" s="37"/>
    </row>
    <row r="1410" spans="1:12" ht="16.5" customHeight="1" x14ac:dyDescent="0.2">
      <c r="A1410" s="37"/>
      <c r="L1410" s="37"/>
    </row>
    <row r="1411" spans="1:12" ht="16.5" customHeight="1" x14ac:dyDescent="0.2">
      <c r="A1411" s="37"/>
      <c r="L1411" s="37"/>
    </row>
    <row r="1412" spans="1:12" ht="16.5" customHeight="1" x14ac:dyDescent="0.2">
      <c r="A1412" s="37"/>
      <c r="L1412" s="37"/>
    </row>
    <row r="1413" spans="1:12" ht="16.5" customHeight="1" x14ac:dyDescent="0.2">
      <c r="A1413" s="37"/>
      <c r="L1413" s="37"/>
    </row>
    <row r="1414" spans="1:12" ht="16.5" customHeight="1" x14ac:dyDescent="0.2">
      <c r="A1414" s="37"/>
      <c r="L1414" s="37"/>
    </row>
    <row r="1415" spans="1:12" ht="16.5" customHeight="1" x14ac:dyDescent="0.2">
      <c r="A1415" s="37"/>
      <c r="L1415" s="37"/>
    </row>
    <row r="1416" spans="1:12" ht="16.5" customHeight="1" x14ac:dyDescent="0.2">
      <c r="A1416" s="37"/>
      <c r="L1416" s="37"/>
    </row>
    <row r="1417" spans="1:12" ht="16.5" customHeight="1" x14ac:dyDescent="0.2">
      <c r="A1417" s="37"/>
      <c r="L1417" s="37"/>
    </row>
    <row r="1418" spans="1:12" ht="16.5" customHeight="1" x14ac:dyDescent="0.2">
      <c r="A1418" s="37"/>
      <c r="L1418" s="37"/>
    </row>
    <row r="1419" spans="1:12" ht="16.5" customHeight="1" x14ac:dyDescent="0.2">
      <c r="A1419" s="37"/>
      <c r="L1419" s="37"/>
    </row>
    <row r="1420" spans="1:12" ht="16.5" customHeight="1" x14ac:dyDescent="0.2">
      <c r="A1420" s="37"/>
      <c r="L1420" s="37"/>
    </row>
    <row r="1421" spans="1:12" ht="16.5" customHeight="1" x14ac:dyDescent="0.2">
      <c r="A1421" s="37"/>
      <c r="L1421" s="37"/>
    </row>
    <row r="1422" spans="1:12" ht="16.5" customHeight="1" x14ac:dyDescent="0.2">
      <c r="A1422" s="37"/>
      <c r="L1422" s="37"/>
    </row>
    <row r="1423" spans="1:12" ht="16.5" customHeight="1" x14ac:dyDescent="0.2">
      <c r="A1423" s="37"/>
      <c r="L1423" s="37"/>
    </row>
    <row r="1424" spans="1:12" ht="16.5" customHeight="1" x14ac:dyDescent="0.2">
      <c r="A1424" s="37"/>
      <c r="L1424" s="37"/>
    </row>
    <row r="1425" spans="1:12" ht="16.5" customHeight="1" x14ac:dyDescent="0.2">
      <c r="A1425" s="37"/>
      <c r="L1425" s="37"/>
    </row>
    <row r="1426" spans="1:12" ht="16.5" customHeight="1" x14ac:dyDescent="0.2">
      <c r="A1426" s="37"/>
      <c r="L1426" s="37"/>
    </row>
    <row r="1427" spans="1:12" ht="16.5" customHeight="1" x14ac:dyDescent="0.2">
      <c r="A1427" s="37"/>
      <c r="L1427" s="37"/>
    </row>
    <row r="1428" spans="1:12" ht="16.5" customHeight="1" x14ac:dyDescent="0.2">
      <c r="A1428" s="37"/>
      <c r="L1428" s="37"/>
    </row>
    <row r="1429" spans="1:12" ht="16.5" customHeight="1" x14ac:dyDescent="0.2">
      <c r="A1429" s="37"/>
      <c r="L1429" s="37"/>
    </row>
    <row r="1430" spans="1:12" ht="16.5" customHeight="1" x14ac:dyDescent="0.2">
      <c r="A1430" s="37"/>
      <c r="L1430" s="37"/>
    </row>
    <row r="1431" spans="1:12" ht="16.5" customHeight="1" x14ac:dyDescent="0.2">
      <c r="A1431" s="37"/>
      <c r="L1431" s="37"/>
    </row>
    <row r="1432" spans="1:12" ht="16.5" customHeight="1" x14ac:dyDescent="0.2">
      <c r="A1432" s="37"/>
      <c r="L1432" s="37"/>
    </row>
    <row r="1433" spans="1:12" ht="16.5" customHeight="1" x14ac:dyDescent="0.2">
      <c r="A1433" s="37"/>
      <c r="L1433" s="37"/>
    </row>
    <row r="1434" spans="1:12" ht="16.5" customHeight="1" x14ac:dyDescent="0.2">
      <c r="A1434" s="37"/>
      <c r="L1434" s="37"/>
    </row>
    <row r="1435" spans="1:12" ht="16.5" customHeight="1" x14ac:dyDescent="0.2">
      <c r="A1435" s="37"/>
      <c r="L1435" s="37"/>
    </row>
    <row r="1436" spans="1:12" ht="16.5" customHeight="1" x14ac:dyDescent="0.2">
      <c r="A1436" s="37"/>
      <c r="L1436" s="37"/>
    </row>
    <row r="1437" spans="1:12" ht="16.5" customHeight="1" x14ac:dyDescent="0.2">
      <c r="A1437" s="37"/>
      <c r="L1437" s="37"/>
    </row>
    <row r="1438" spans="1:12" ht="16.5" customHeight="1" x14ac:dyDescent="0.2">
      <c r="A1438" s="37"/>
      <c r="L1438" s="37"/>
    </row>
    <row r="1439" spans="1:12" ht="16.5" customHeight="1" x14ac:dyDescent="0.2">
      <c r="A1439" s="37"/>
      <c r="L1439" s="37"/>
    </row>
    <row r="1440" spans="1:12" ht="16.5" customHeight="1" x14ac:dyDescent="0.2">
      <c r="A1440" s="37"/>
      <c r="L1440" s="37"/>
    </row>
    <row r="1441" spans="1:12" ht="16.5" customHeight="1" x14ac:dyDescent="0.2">
      <c r="A1441" s="37"/>
      <c r="L1441" s="37"/>
    </row>
    <row r="1442" spans="1:12" ht="16.5" customHeight="1" x14ac:dyDescent="0.2">
      <c r="A1442" s="37"/>
      <c r="L1442" s="37"/>
    </row>
    <row r="1443" spans="1:12" ht="16.5" customHeight="1" x14ac:dyDescent="0.2">
      <c r="A1443" s="37"/>
      <c r="L1443" s="37"/>
    </row>
    <row r="1444" spans="1:12" ht="16.5" customHeight="1" x14ac:dyDescent="0.2">
      <c r="A1444" s="37"/>
      <c r="L1444" s="37"/>
    </row>
    <row r="1445" spans="1:12" ht="16.5" customHeight="1" x14ac:dyDescent="0.2">
      <c r="A1445" s="37"/>
      <c r="L1445" s="37"/>
    </row>
    <row r="1446" spans="1:12" ht="16.5" customHeight="1" x14ac:dyDescent="0.2">
      <c r="A1446" s="37"/>
      <c r="L1446" s="37"/>
    </row>
    <row r="1447" spans="1:12" ht="16.5" customHeight="1" x14ac:dyDescent="0.2">
      <c r="A1447" s="37"/>
      <c r="L1447" s="37"/>
    </row>
    <row r="1448" spans="1:12" ht="16.5" customHeight="1" x14ac:dyDescent="0.2">
      <c r="A1448" s="37"/>
      <c r="L1448" s="37"/>
    </row>
    <row r="1449" spans="1:12" ht="16.5" customHeight="1" x14ac:dyDescent="0.2">
      <c r="A1449" s="37"/>
      <c r="L1449" s="37"/>
    </row>
    <row r="1450" spans="1:12" ht="16.5" customHeight="1" x14ac:dyDescent="0.2">
      <c r="A1450" s="37"/>
      <c r="L1450" s="37"/>
    </row>
    <row r="1451" spans="1:12" ht="16.5" customHeight="1" x14ac:dyDescent="0.2">
      <c r="A1451" s="37"/>
      <c r="L1451" s="37"/>
    </row>
    <row r="1452" spans="1:12" ht="16.5" customHeight="1" x14ac:dyDescent="0.2">
      <c r="A1452" s="37"/>
      <c r="L1452" s="37"/>
    </row>
    <row r="1453" spans="1:12" ht="16.5" customHeight="1" x14ac:dyDescent="0.2">
      <c r="A1453" s="37"/>
      <c r="L1453" s="37"/>
    </row>
    <row r="1454" spans="1:12" ht="16.5" customHeight="1" x14ac:dyDescent="0.2">
      <c r="A1454" s="37"/>
      <c r="L1454" s="37"/>
    </row>
    <row r="1455" spans="1:12" ht="16.5" customHeight="1" x14ac:dyDescent="0.2">
      <c r="A1455" s="37"/>
      <c r="L1455" s="37"/>
    </row>
    <row r="1456" spans="1:12" ht="16.5" customHeight="1" x14ac:dyDescent="0.2">
      <c r="A1456" s="37"/>
      <c r="L1456" s="37"/>
    </row>
    <row r="1457" spans="1:12" ht="16.5" customHeight="1" x14ac:dyDescent="0.2">
      <c r="A1457" s="37"/>
      <c r="L1457" s="37"/>
    </row>
    <row r="1458" spans="1:12" ht="16.5" customHeight="1" x14ac:dyDescent="0.2">
      <c r="A1458" s="37"/>
      <c r="L1458" s="37"/>
    </row>
    <row r="1459" spans="1:12" ht="16.5" customHeight="1" x14ac:dyDescent="0.2">
      <c r="A1459" s="37"/>
      <c r="L1459" s="37"/>
    </row>
    <row r="1460" spans="1:12" ht="16.5" customHeight="1" x14ac:dyDescent="0.2">
      <c r="A1460" s="37"/>
      <c r="L1460" s="37"/>
    </row>
    <row r="1461" spans="1:12" ht="16.5" customHeight="1" x14ac:dyDescent="0.2">
      <c r="A1461" s="37"/>
      <c r="L1461" s="37"/>
    </row>
    <row r="1462" spans="1:12" ht="16.5" customHeight="1" x14ac:dyDescent="0.2">
      <c r="A1462" s="37"/>
      <c r="L1462" s="37"/>
    </row>
    <row r="1463" spans="1:12" ht="16.5" customHeight="1" x14ac:dyDescent="0.2">
      <c r="A1463" s="37"/>
      <c r="L1463" s="37"/>
    </row>
    <row r="1464" spans="1:12" ht="16.5" customHeight="1" x14ac:dyDescent="0.2">
      <c r="A1464" s="37"/>
      <c r="L1464" s="37"/>
    </row>
    <row r="1465" spans="1:12" ht="16.5" customHeight="1" x14ac:dyDescent="0.2">
      <c r="A1465" s="37"/>
      <c r="L1465" s="37"/>
    </row>
    <row r="1466" spans="1:12" ht="16.5" customHeight="1" x14ac:dyDescent="0.2">
      <c r="A1466" s="37"/>
      <c r="L1466" s="37"/>
    </row>
    <row r="1467" spans="1:12" ht="16.5" customHeight="1" x14ac:dyDescent="0.2">
      <c r="A1467" s="37"/>
      <c r="L1467" s="37"/>
    </row>
    <row r="1468" spans="1:12" ht="16.5" customHeight="1" x14ac:dyDescent="0.2">
      <c r="A1468" s="37"/>
      <c r="L1468" s="37"/>
    </row>
    <row r="1469" spans="1:12" ht="16.5" customHeight="1" x14ac:dyDescent="0.2">
      <c r="A1469" s="37"/>
      <c r="L1469" s="37"/>
    </row>
    <row r="1470" spans="1:12" ht="16.5" customHeight="1" x14ac:dyDescent="0.2">
      <c r="A1470" s="37"/>
      <c r="L1470" s="37"/>
    </row>
    <row r="1471" spans="1:12" ht="16.5" customHeight="1" x14ac:dyDescent="0.2">
      <c r="A1471" s="37"/>
      <c r="L1471" s="37"/>
    </row>
    <row r="1472" spans="1:12" ht="16.5" customHeight="1" x14ac:dyDescent="0.2">
      <c r="A1472" s="37"/>
      <c r="L1472" s="37"/>
    </row>
    <row r="1473" spans="1:12" ht="16.5" customHeight="1" x14ac:dyDescent="0.2">
      <c r="A1473" s="37"/>
      <c r="L1473" s="37"/>
    </row>
    <row r="1474" spans="1:12" ht="16.5" customHeight="1" x14ac:dyDescent="0.2">
      <c r="A1474" s="37"/>
      <c r="L1474" s="37"/>
    </row>
    <row r="1475" spans="1:12" ht="16.5" customHeight="1" x14ac:dyDescent="0.2">
      <c r="A1475" s="37"/>
      <c r="L1475" s="37"/>
    </row>
    <row r="1476" spans="1:12" ht="16.5" customHeight="1" x14ac:dyDescent="0.2">
      <c r="A1476" s="37"/>
      <c r="L1476" s="37"/>
    </row>
    <row r="1477" spans="1:12" ht="16.5" customHeight="1" x14ac:dyDescent="0.2">
      <c r="A1477" s="37"/>
      <c r="L1477" s="37"/>
    </row>
    <row r="1478" spans="1:12" ht="16.5" customHeight="1" x14ac:dyDescent="0.2">
      <c r="A1478" s="37"/>
      <c r="L1478" s="37"/>
    </row>
    <row r="1479" spans="1:12" ht="16.5" customHeight="1" x14ac:dyDescent="0.2">
      <c r="A1479" s="37"/>
      <c r="L1479" s="37"/>
    </row>
    <row r="1480" spans="1:12" ht="16.5" customHeight="1" x14ac:dyDescent="0.2">
      <c r="A1480" s="37"/>
      <c r="L1480" s="37"/>
    </row>
    <row r="1481" spans="1:12" ht="16.5" customHeight="1" x14ac:dyDescent="0.2">
      <c r="A1481" s="37"/>
      <c r="L1481" s="37"/>
    </row>
    <row r="1482" spans="1:12" ht="16.5" customHeight="1" x14ac:dyDescent="0.2">
      <c r="A1482" s="37"/>
      <c r="L1482" s="37"/>
    </row>
    <row r="1483" spans="1:12" ht="16.5" customHeight="1" x14ac:dyDescent="0.2">
      <c r="A1483" s="37"/>
      <c r="L1483" s="37"/>
    </row>
    <row r="1484" spans="1:12" ht="16.5" customHeight="1" x14ac:dyDescent="0.2">
      <c r="A1484" s="37"/>
      <c r="L1484" s="37"/>
    </row>
    <row r="1485" spans="1:12" ht="16.5" customHeight="1" x14ac:dyDescent="0.2">
      <c r="A1485" s="37"/>
      <c r="L1485" s="37"/>
    </row>
    <row r="1486" spans="1:12" ht="16.5" customHeight="1" x14ac:dyDescent="0.2">
      <c r="A1486" s="37"/>
      <c r="L1486" s="37"/>
    </row>
    <row r="1487" spans="1:12" ht="16.5" customHeight="1" x14ac:dyDescent="0.2">
      <c r="A1487" s="37"/>
      <c r="L1487" s="37"/>
    </row>
    <row r="1488" spans="1:12" ht="16.5" customHeight="1" x14ac:dyDescent="0.2">
      <c r="A1488" s="37"/>
      <c r="L1488" s="37"/>
    </row>
    <row r="1489" spans="1:12" ht="16.5" customHeight="1" x14ac:dyDescent="0.2">
      <c r="A1489" s="37"/>
      <c r="L1489" s="37"/>
    </row>
    <row r="1490" spans="1:12" ht="16.5" customHeight="1" x14ac:dyDescent="0.2">
      <c r="A1490" s="37"/>
      <c r="L1490" s="37"/>
    </row>
    <row r="1491" spans="1:12" ht="16.5" customHeight="1" x14ac:dyDescent="0.2">
      <c r="A1491" s="37"/>
      <c r="L1491" s="37"/>
    </row>
    <row r="1492" spans="1:12" ht="16.5" customHeight="1" x14ac:dyDescent="0.2">
      <c r="A1492" s="37"/>
      <c r="L1492" s="37"/>
    </row>
    <row r="1493" spans="1:12" ht="16.5" customHeight="1" x14ac:dyDescent="0.2">
      <c r="A1493" s="37"/>
      <c r="L1493" s="37"/>
    </row>
    <row r="1494" spans="1:12" ht="16.5" customHeight="1" x14ac:dyDescent="0.2">
      <c r="A1494" s="37"/>
      <c r="L1494" s="37"/>
    </row>
    <row r="1495" spans="1:12" ht="16.5" customHeight="1" x14ac:dyDescent="0.2">
      <c r="A1495" s="37"/>
      <c r="L1495" s="37"/>
    </row>
    <row r="1496" spans="1:12" ht="16.5" customHeight="1" x14ac:dyDescent="0.2">
      <c r="A1496" s="37"/>
      <c r="L1496" s="37"/>
    </row>
    <row r="1497" spans="1:12" ht="16.5" customHeight="1" x14ac:dyDescent="0.2">
      <c r="A1497" s="37"/>
      <c r="L1497" s="37"/>
    </row>
    <row r="1498" spans="1:12" ht="16.5" customHeight="1" x14ac:dyDescent="0.2">
      <c r="A1498" s="37"/>
      <c r="L1498" s="37"/>
    </row>
    <row r="1499" spans="1:12" ht="16.5" customHeight="1" x14ac:dyDescent="0.2">
      <c r="A1499" s="37"/>
      <c r="L1499" s="37"/>
    </row>
    <row r="1500" spans="1:12" ht="16.5" customHeight="1" x14ac:dyDescent="0.2">
      <c r="A1500" s="37"/>
      <c r="L1500" s="37"/>
    </row>
    <row r="1501" spans="1:12" ht="16.5" customHeight="1" x14ac:dyDescent="0.2">
      <c r="A1501" s="37"/>
      <c r="L1501" s="37"/>
    </row>
    <row r="1502" spans="1:12" ht="16.5" customHeight="1" x14ac:dyDescent="0.2">
      <c r="A1502" s="37"/>
      <c r="L1502" s="37"/>
    </row>
    <row r="1503" spans="1:12" ht="16.5" customHeight="1" x14ac:dyDescent="0.2">
      <c r="A1503" s="37"/>
      <c r="L1503" s="37"/>
    </row>
    <row r="1504" spans="1:12" ht="16.5" customHeight="1" x14ac:dyDescent="0.2">
      <c r="A1504" s="37"/>
      <c r="L1504" s="37"/>
    </row>
    <row r="1505" spans="1:12" ht="16.5" customHeight="1" x14ac:dyDescent="0.2">
      <c r="A1505" s="37"/>
      <c r="L1505" s="37"/>
    </row>
    <row r="1506" spans="1:12" ht="16.5" customHeight="1" x14ac:dyDescent="0.2">
      <c r="A1506" s="37"/>
      <c r="L1506" s="37"/>
    </row>
    <row r="1507" spans="1:12" ht="16.5" customHeight="1" x14ac:dyDescent="0.2">
      <c r="A1507" s="37"/>
      <c r="L1507" s="37"/>
    </row>
    <row r="1508" spans="1:12" ht="16.5" customHeight="1" x14ac:dyDescent="0.2">
      <c r="A1508" s="37"/>
      <c r="L1508" s="37"/>
    </row>
    <row r="1509" spans="1:12" ht="16.5" customHeight="1" x14ac:dyDescent="0.2">
      <c r="A1509" s="37"/>
      <c r="L1509" s="37"/>
    </row>
    <row r="1510" spans="1:12" ht="16.5" customHeight="1" x14ac:dyDescent="0.2">
      <c r="A1510" s="37"/>
      <c r="L1510" s="37"/>
    </row>
    <row r="1511" spans="1:12" ht="16.5" customHeight="1" x14ac:dyDescent="0.2">
      <c r="A1511" s="37"/>
      <c r="L1511" s="37"/>
    </row>
    <row r="1512" spans="1:12" ht="16.5" customHeight="1" x14ac:dyDescent="0.2">
      <c r="A1512" s="37"/>
      <c r="L1512" s="37"/>
    </row>
    <row r="1513" spans="1:12" ht="16.5" customHeight="1" x14ac:dyDescent="0.2">
      <c r="A1513" s="37"/>
      <c r="L1513" s="37"/>
    </row>
    <row r="1514" spans="1:12" ht="16.5" customHeight="1" x14ac:dyDescent="0.2">
      <c r="A1514" s="37"/>
      <c r="L1514" s="37"/>
    </row>
    <row r="1515" spans="1:12" ht="16.5" customHeight="1" x14ac:dyDescent="0.2">
      <c r="A1515" s="37"/>
      <c r="L1515" s="37"/>
    </row>
    <row r="1516" spans="1:12" ht="16.5" customHeight="1" x14ac:dyDescent="0.2">
      <c r="A1516" s="37"/>
      <c r="L1516" s="37"/>
    </row>
    <row r="1517" spans="1:12" ht="16.5" customHeight="1" x14ac:dyDescent="0.2">
      <c r="A1517" s="37"/>
      <c r="L1517" s="37"/>
    </row>
    <row r="1518" spans="1:12" ht="16.5" customHeight="1" x14ac:dyDescent="0.2">
      <c r="A1518" s="37"/>
      <c r="L1518" s="37"/>
    </row>
    <row r="1519" spans="1:12" ht="16.5" customHeight="1" x14ac:dyDescent="0.2">
      <c r="A1519" s="37"/>
      <c r="L1519" s="37"/>
    </row>
    <row r="1520" spans="1:12" ht="16.5" customHeight="1" x14ac:dyDescent="0.2">
      <c r="A1520" s="37"/>
      <c r="L1520" s="37"/>
    </row>
    <row r="1521" spans="1:12" ht="16.5" customHeight="1" x14ac:dyDescent="0.2">
      <c r="A1521" s="37"/>
      <c r="L1521" s="37"/>
    </row>
    <row r="1522" spans="1:12" ht="16.5" customHeight="1" x14ac:dyDescent="0.2">
      <c r="A1522" s="37"/>
      <c r="L1522" s="37"/>
    </row>
    <row r="1523" spans="1:12" ht="16.5" customHeight="1" x14ac:dyDescent="0.2">
      <c r="A1523" s="37"/>
      <c r="L1523" s="37"/>
    </row>
    <row r="1524" spans="1:12" ht="16.5" customHeight="1" x14ac:dyDescent="0.2">
      <c r="A1524" s="37"/>
      <c r="L1524" s="37"/>
    </row>
    <row r="1525" spans="1:12" ht="16.5" customHeight="1" x14ac:dyDescent="0.2">
      <c r="A1525" s="37"/>
      <c r="L1525" s="37"/>
    </row>
    <row r="1526" spans="1:12" ht="16.5" customHeight="1" x14ac:dyDescent="0.2">
      <c r="A1526" s="37"/>
      <c r="L1526" s="37"/>
    </row>
    <row r="1527" spans="1:12" ht="16.5" customHeight="1" x14ac:dyDescent="0.2">
      <c r="A1527" s="37"/>
      <c r="L1527" s="37"/>
    </row>
    <row r="1528" spans="1:12" ht="16.5" customHeight="1" x14ac:dyDescent="0.2">
      <c r="A1528" s="37"/>
      <c r="L1528" s="37"/>
    </row>
    <row r="1529" spans="1:12" ht="16.5" customHeight="1" x14ac:dyDescent="0.2">
      <c r="A1529" s="37"/>
      <c r="L1529" s="37"/>
    </row>
    <row r="1530" spans="1:12" ht="16.5" customHeight="1" x14ac:dyDescent="0.2">
      <c r="A1530" s="37"/>
      <c r="L1530" s="37"/>
    </row>
    <row r="1531" spans="1:12" ht="16.5" customHeight="1" x14ac:dyDescent="0.2">
      <c r="A1531" s="37"/>
      <c r="L1531" s="37"/>
    </row>
    <row r="1532" spans="1:12" ht="16.5" customHeight="1" x14ac:dyDescent="0.2">
      <c r="A1532" s="37"/>
      <c r="L1532" s="37"/>
    </row>
    <row r="1533" spans="1:12" ht="16.5" customHeight="1" x14ac:dyDescent="0.2">
      <c r="A1533" s="37"/>
      <c r="L1533" s="37"/>
    </row>
    <row r="1534" spans="1:12" ht="16.5" customHeight="1" x14ac:dyDescent="0.2">
      <c r="A1534" s="37"/>
      <c r="L1534" s="37"/>
    </row>
    <row r="1535" spans="1:12" ht="16.5" customHeight="1" x14ac:dyDescent="0.2">
      <c r="A1535" s="37"/>
      <c r="L1535" s="37"/>
    </row>
    <row r="1536" spans="1:12" ht="16.5" customHeight="1" x14ac:dyDescent="0.2">
      <c r="A1536" s="37"/>
      <c r="L1536" s="37"/>
    </row>
    <row r="1537" spans="1:12" ht="16.5" customHeight="1" x14ac:dyDescent="0.2">
      <c r="A1537" s="37"/>
      <c r="L1537" s="37"/>
    </row>
    <row r="1538" spans="1:12" ht="16.5" customHeight="1" x14ac:dyDescent="0.2">
      <c r="A1538" s="37"/>
      <c r="L1538" s="37"/>
    </row>
    <row r="1539" spans="1:12" ht="16.5" customHeight="1" x14ac:dyDescent="0.2">
      <c r="A1539" s="37"/>
      <c r="L1539" s="37"/>
    </row>
    <row r="1540" spans="1:12" ht="16.5" customHeight="1" x14ac:dyDescent="0.2">
      <c r="A1540" s="37"/>
      <c r="L1540" s="37"/>
    </row>
    <row r="1541" spans="1:12" ht="16.5" customHeight="1" x14ac:dyDescent="0.2">
      <c r="A1541" s="37"/>
      <c r="L1541" s="37"/>
    </row>
    <row r="1542" spans="1:12" ht="16.5" customHeight="1" x14ac:dyDescent="0.2">
      <c r="A1542" s="37"/>
      <c r="L1542" s="37"/>
    </row>
    <row r="1543" spans="1:12" ht="16.5" customHeight="1" x14ac:dyDescent="0.2">
      <c r="A1543" s="37"/>
      <c r="L1543" s="37"/>
    </row>
    <row r="1544" spans="1:12" ht="16.5" customHeight="1" x14ac:dyDescent="0.2">
      <c r="A1544" s="37"/>
      <c r="L1544" s="37"/>
    </row>
    <row r="1545" spans="1:12" ht="16.5" customHeight="1" x14ac:dyDescent="0.2">
      <c r="A1545" s="37"/>
      <c r="L1545" s="37"/>
    </row>
    <row r="1546" spans="1:12" ht="16.5" customHeight="1" x14ac:dyDescent="0.2">
      <c r="A1546" s="37"/>
      <c r="L1546" s="37"/>
    </row>
    <row r="1547" spans="1:12" ht="16.5" customHeight="1" x14ac:dyDescent="0.2">
      <c r="A1547" s="37"/>
      <c r="L1547" s="37"/>
    </row>
    <row r="1548" spans="1:12" ht="16.5" customHeight="1" x14ac:dyDescent="0.2">
      <c r="A1548" s="37"/>
      <c r="L1548" s="37"/>
    </row>
    <row r="1549" spans="1:12" ht="16.5" customHeight="1" x14ac:dyDescent="0.2">
      <c r="A1549" s="37"/>
      <c r="L1549" s="37"/>
    </row>
    <row r="1550" spans="1:12" ht="16.5" customHeight="1" x14ac:dyDescent="0.2">
      <c r="A1550" s="37"/>
      <c r="L1550" s="37"/>
    </row>
    <row r="1551" spans="1:12" ht="16.5" customHeight="1" x14ac:dyDescent="0.2">
      <c r="A1551" s="37"/>
      <c r="L1551" s="37"/>
    </row>
    <row r="1552" spans="1:12" ht="16.5" customHeight="1" x14ac:dyDescent="0.2">
      <c r="A1552" s="37"/>
      <c r="L1552" s="37"/>
    </row>
    <row r="1553" spans="1:12" ht="16.5" customHeight="1" x14ac:dyDescent="0.2">
      <c r="A1553" s="37"/>
      <c r="L1553" s="37"/>
    </row>
    <row r="1554" spans="1:12" ht="16.5" customHeight="1" x14ac:dyDescent="0.2">
      <c r="A1554" s="37"/>
      <c r="L1554" s="37"/>
    </row>
    <row r="1555" spans="1:12" ht="16.5" customHeight="1" x14ac:dyDescent="0.2">
      <c r="A1555" s="37"/>
      <c r="L1555" s="37"/>
    </row>
    <row r="1556" spans="1:12" ht="16.5" customHeight="1" x14ac:dyDescent="0.2">
      <c r="A1556" s="37"/>
      <c r="L1556" s="37"/>
    </row>
    <row r="1557" spans="1:12" ht="16.5" customHeight="1" x14ac:dyDescent="0.2">
      <c r="A1557" s="37"/>
      <c r="L1557" s="37"/>
    </row>
    <row r="1558" spans="1:12" ht="16.5" customHeight="1" x14ac:dyDescent="0.2">
      <c r="A1558" s="37"/>
      <c r="L1558" s="37"/>
    </row>
    <row r="1559" spans="1:12" ht="16.5" customHeight="1" x14ac:dyDescent="0.2">
      <c r="A1559" s="37"/>
      <c r="L1559" s="37"/>
    </row>
    <row r="1560" spans="1:12" ht="16.5" customHeight="1" x14ac:dyDescent="0.2">
      <c r="A1560" s="37"/>
      <c r="L1560" s="37"/>
    </row>
    <row r="1561" spans="1:12" ht="16.5" customHeight="1" x14ac:dyDescent="0.2">
      <c r="A1561" s="37"/>
      <c r="L1561" s="37"/>
    </row>
    <row r="1562" spans="1:12" ht="16.5" customHeight="1" x14ac:dyDescent="0.2">
      <c r="A1562" s="37"/>
      <c r="L1562" s="37"/>
    </row>
    <row r="1563" spans="1:12" ht="16.5" customHeight="1" x14ac:dyDescent="0.2">
      <c r="A1563" s="37"/>
      <c r="L1563" s="37"/>
    </row>
    <row r="1564" spans="1:12" ht="16.5" customHeight="1" x14ac:dyDescent="0.2">
      <c r="A1564" s="37"/>
      <c r="L1564" s="37"/>
    </row>
    <row r="1565" spans="1:12" ht="16.5" customHeight="1" x14ac:dyDescent="0.2">
      <c r="A1565" s="37"/>
      <c r="L1565" s="37"/>
    </row>
    <row r="1566" spans="1:12" ht="16.5" customHeight="1" x14ac:dyDescent="0.2">
      <c r="A1566" s="37"/>
      <c r="L1566" s="37"/>
    </row>
    <row r="1567" spans="1:12" ht="16.5" customHeight="1" x14ac:dyDescent="0.2">
      <c r="A1567" s="37"/>
      <c r="L1567" s="37"/>
    </row>
    <row r="1568" spans="1:12" ht="16.5" customHeight="1" x14ac:dyDescent="0.2">
      <c r="A1568" s="37"/>
      <c r="L1568" s="37"/>
    </row>
    <row r="1569" spans="1:12" ht="16.5" customHeight="1" x14ac:dyDescent="0.2">
      <c r="A1569" s="37"/>
      <c r="L1569" s="37"/>
    </row>
    <row r="1570" spans="1:12" ht="16.5" customHeight="1" x14ac:dyDescent="0.2">
      <c r="A1570" s="37"/>
      <c r="L1570" s="37"/>
    </row>
    <row r="1571" spans="1:12" ht="16.5" customHeight="1" x14ac:dyDescent="0.2">
      <c r="A1571" s="37"/>
      <c r="L1571" s="37"/>
    </row>
    <row r="1572" spans="1:12" ht="16.5" customHeight="1" x14ac:dyDescent="0.2">
      <c r="A1572" s="37"/>
      <c r="L1572" s="37"/>
    </row>
    <row r="1573" spans="1:12" ht="16.5" customHeight="1" x14ac:dyDescent="0.2">
      <c r="A1573" s="37"/>
      <c r="L1573" s="37"/>
    </row>
    <row r="1574" spans="1:12" ht="16.5" customHeight="1" x14ac:dyDescent="0.2">
      <c r="A1574" s="37"/>
      <c r="L1574" s="37"/>
    </row>
    <row r="1575" spans="1:12" ht="16.5" customHeight="1" x14ac:dyDescent="0.2">
      <c r="A1575" s="37"/>
      <c r="L1575" s="37"/>
    </row>
    <row r="1576" spans="1:12" ht="16.5" customHeight="1" x14ac:dyDescent="0.2">
      <c r="A1576" s="37"/>
      <c r="L1576" s="37"/>
    </row>
    <row r="1577" spans="1:12" ht="16.5" customHeight="1" x14ac:dyDescent="0.2">
      <c r="A1577" s="37"/>
      <c r="L1577" s="37"/>
    </row>
    <row r="1578" spans="1:12" ht="16.5" customHeight="1" x14ac:dyDescent="0.2">
      <c r="A1578" s="37"/>
      <c r="L1578" s="37"/>
    </row>
    <row r="1579" spans="1:12" ht="16.5" customHeight="1" x14ac:dyDescent="0.2">
      <c r="A1579" s="37"/>
      <c r="L1579" s="37"/>
    </row>
    <row r="1580" spans="1:12" ht="16.5" customHeight="1" x14ac:dyDescent="0.2">
      <c r="A1580" s="37"/>
      <c r="L1580" s="37"/>
    </row>
    <row r="1581" spans="1:12" ht="16.5" customHeight="1" x14ac:dyDescent="0.2">
      <c r="A1581" s="37"/>
      <c r="L1581" s="37"/>
    </row>
    <row r="1582" spans="1:12" ht="16.5" customHeight="1" x14ac:dyDescent="0.2">
      <c r="A1582" s="37"/>
      <c r="L1582" s="37"/>
    </row>
    <row r="1583" spans="1:12" ht="16.5" customHeight="1" x14ac:dyDescent="0.2">
      <c r="A1583" s="37"/>
      <c r="L1583" s="37"/>
    </row>
    <row r="1584" spans="1:12" ht="16.5" customHeight="1" x14ac:dyDescent="0.2">
      <c r="A1584" s="37"/>
      <c r="L1584" s="37"/>
    </row>
    <row r="1585" spans="1:12" ht="16.5" customHeight="1" x14ac:dyDescent="0.2">
      <c r="A1585" s="37"/>
      <c r="L1585" s="37"/>
    </row>
    <row r="1586" spans="1:12" ht="16.5" customHeight="1" x14ac:dyDescent="0.2">
      <c r="A1586" s="37"/>
      <c r="L1586" s="37"/>
    </row>
    <row r="1587" spans="1:12" ht="16.5" customHeight="1" x14ac:dyDescent="0.2">
      <c r="A1587" s="37"/>
      <c r="L1587" s="37"/>
    </row>
    <row r="1588" spans="1:12" ht="16.5" customHeight="1" x14ac:dyDescent="0.2">
      <c r="A1588" s="37"/>
      <c r="L1588" s="37"/>
    </row>
    <row r="1589" spans="1:12" ht="16.5" customHeight="1" x14ac:dyDescent="0.2">
      <c r="A1589" s="37"/>
      <c r="L1589" s="37"/>
    </row>
    <row r="1590" spans="1:12" ht="16.5" customHeight="1" x14ac:dyDescent="0.2">
      <c r="A1590" s="37"/>
      <c r="L1590" s="37"/>
    </row>
    <row r="1591" spans="1:12" ht="16.5" customHeight="1" x14ac:dyDescent="0.2">
      <c r="A1591" s="37"/>
      <c r="L1591" s="37"/>
    </row>
    <row r="1592" spans="1:12" ht="16.5" customHeight="1" x14ac:dyDescent="0.2">
      <c r="A1592" s="37"/>
      <c r="L1592" s="37"/>
    </row>
    <row r="1593" spans="1:12" ht="16.5" customHeight="1" x14ac:dyDescent="0.2">
      <c r="A1593" s="37"/>
      <c r="L1593" s="37"/>
    </row>
    <row r="1594" spans="1:12" ht="16.5" customHeight="1" x14ac:dyDescent="0.2">
      <c r="A1594" s="37"/>
      <c r="L1594" s="37"/>
    </row>
    <row r="1595" spans="1:12" ht="16.5" customHeight="1" x14ac:dyDescent="0.2">
      <c r="A1595" s="37"/>
      <c r="L1595" s="37"/>
    </row>
    <row r="1596" spans="1:12" ht="16.5" customHeight="1" x14ac:dyDescent="0.2">
      <c r="A1596" s="37"/>
      <c r="L1596" s="37"/>
    </row>
    <row r="1597" spans="1:12" ht="16.5" customHeight="1" x14ac:dyDescent="0.2">
      <c r="A1597" s="37"/>
      <c r="L1597" s="37"/>
    </row>
    <row r="1598" spans="1:12" ht="16.5" customHeight="1" x14ac:dyDescent="0.2">
      <c r="A1598" s="37"/>
      <c r="L1598" s="37"/>
    </row>
    <row r="1599" spans="1:12" ht="16.5" customHeight="1" x14ac:dyDescent="0.2">
      <c r="A1599" s="37"/>
      <c r="L1599" s="37"/>
    </row>
    <row r="1600" spans="1:12" ht="16.5" customHeight="1" x14ac:dyDescent="0.2">
      <c r="A1600" s="37"/>
      <c r="L1600" s="37"/>
    </row>
    <row r="1601" spans="1:12" ht="16.5" customHeight="1" x14ac:dyDescent="0.2">
      <c r="A1601" s="37"/>
      <c r="L1601" s="37"/>
    </row>
    <row r="1602" spans="1:12" ht="16.5" customHeight="1" x14ac:dyDescent="0.2">
      <c r="A1602" s="37"/>
      <c r="L1602" s="37"/>
    </row>
    <row r="1603" spans="1:12" ht="16.5" customHeight="1" x14ac:dyDescent="0.2">
      <c r="A1603" s="37"/>
      <c r="L1603" s="37"/>
    </row>
    <row r="1604" spans="1:12" ht="16.5" customHeight="1" x14ac:dyDescent="0.2">
      <c r="A1604" s="37"/>
      <c r="L1604" s="37"/>
    </row>
    <row r="1605" spans="1:12" ht="16.5" customHeight="1" x14ac:dyDescent="0.2">
      <c r="A1605" s="37"/>
      <c r="L1605" s="37"/>
    </row>
    <row r="1606" spans="1:12" ht="16.5" customHeight="1" x14ac:dyDescent="0.2">
      <c r="A1606" s="37"/>
      <c r="L1606" s="37"/>
    </row>
    <row r="1607" spans="1:12" ht="16.5" customHeight="1" x14ac:dyDescent="0.2">
      <c r="A1607" s="37"/>
      <c r="L1607" s="37"/>
    </row>
    <row r="1608" spans="1:12" ht="16.5" customHeight="1" x14ac:dyDescent="0.2">
      <c r="A1608" s="37"/>
      <c r="L1608" s="37"/>
    </row>
    <row r="1609" spans="1:12" ht="16.5" customHeight="1" x14ac:dyDescent="0.2">
      <c r="A1609" s="37"/>
      <c r="L1609" s="37"/>
    </row>
    <row r="1610" spans="1:12" ht="16.5" customHeight="1" x14ac:dyDescent="0.2">
      <c r="A1610" s="37"/>
      <c r="L1610" s="37"/>
    </row>
    <row r="1611" spans="1:12" ht="16.5" customHeight="1" x14ac:dyDescent="0.2">
      <c r="A1611" s="37"/>
      <c r="L1611" s="37"/>
    </row>
    <row r="1612" spans="1:12" ht="16.5" customHeight="1" x14ac:dyDescent="0.2">
      <c r="A1612" s="37"/>
      <c r="L1612" s="37"/>
    </row>
    <row r="1613" spans="1:12" ht="16.5" customHeight="1" x14ac:dyDescent="0.2">
      <c r="A1613" s="37"/>
      <c r="L1613" s="37"/>
    </row>
    <row r="1614" spans="1:12" ht="16.5" customHeight="1" x14ac:dyDescent="0.2">
      <c r="A1614" s="37"/>
      <c r="L1614" s="37"/>
    </row>
    <row r="1615" spans="1:12" ht="16.5" customHeight="1" x14ac:dyDescent="0.2">
      <c r="A1615" s="37"/>
      <c r="L1615" s="37"/>
    </row>
    <row r="1616" spans="1:12" ht="16.5" customHeight="1" x14ac:dyDescent="0.2">
      <c r="A1616" s="37"/>
      <c r="L1616" s="37"/>
    </row>
    <row r="1617" spans="1:12" ht="16.5" customHeight="1" x14ac:dyDescent="0.2">
      <c r="A1617" s="37"/>
      <c r="L1617" s="37"/>
    </row>
    <row r="1618" spans="1:12" ht="16.5" customHeight="1" x14ac:dyDescent="0.2">
      <c r="A1618" s="37"/>
      <c r="L1618" s="37"/>
    </row>
    <row r="1619" spans="1:12" ht="16.5" customHeight="1" x14ac:dyDescent="0.2">
      <c r="A1619" s="37"/>
      <c r="L1619" s="37"/>
    </row>
    <row r="1620" spans="1:12" ht="16.5" customHeight="1" x14ac:dyDescent="0.2">
      <c r="A1620" s="37"/>
      <c r="L1620" s="37"/>
    </row>
    <row r="1621" spans="1:12" ht="16.5" customHeight="1" x14ac:dyDescent="0.2">
      <c r="A1621" s="37"/>
      <c r="L1621" s="37"/>
    </row>
    <row r="1622" spans="1:12" ht="16.5" customHeight="1" x14ac:dyDescent="0.2">
      <c r="A1622" s="37"/>
      <c r="L1622" s="37"/>
    </row>
    <row r="1623" spans="1:12" ht="16.5" customHeight="1" x14ac:dyDescent="0.2">
      <c r="A1623" s="37"/>
      <c r="L1623" s="37"/>
    </row>
    <row r="1624" spans="1:12" ht="16.5" customHeight="1" x14ac:dyDescent="0.2">
      <c r="A1624" s="37"/>
      <c r="L1624" s="37"/>
    </row>
    <row r="1625" spans="1:12" ht="16.5" customHeight="1" x14ac:dyDescent="0.2">
      <c r="A1625" s="37"/>
      <c r="L1625" s="37"/>
    </row>
    <row r="1626" spans="1:12" ht="16.5" customHeight="1" x14ac:dyDescent="0.2">
      <c r="A1626" s="37"/>
      <c r="L1626" s="37"/>
    </row>
    <row r="1627" spans="1:12" ht="16.5" customHeight="1" x14ac:dyDescent="0.2">
      <c r="A1627" s="37"/>
      <c r="L1627" s="37"/>
    </row>
    <row r="1628" spans="1:12" ht="16.5" customHeight="1" x14ac:dyDescent="0.2">
      <c r="A1628" s="37"/>
      <c r="L1628" s="37"/>
    </row>
    <row r="1629" spans="1:12" ht="16.5" customHeight="1" x14ac:dyDescent="0.2">
      <c r="A1629" s="37"/>
      <c r="L1629" s="37"/>
    </row>
    <row r="1630" spans="1:12" ht="16.5" customHeight="1" x14ac:dyDescent="0.2">
      <c r="A1630" s="37"/>
      <c r="L1630" s="37"/>
    </row>
    <row r="1631" spans="1:12" ht="16.5" customHeight="1" x14ac:dyDescent="0.2">
      <c r="A1631" s="37"/>
      <c r="L1631" s="37"/>
    </row>
    <row r="1632" spans="1:12" ht="16.5" customHeight="1" x14ac:dyDescent="0.2">
      <c r="A1632" s="37"/>
      <c r="L1632" s="37"/>
    </row>
    <row r="1633" spans="1:12" ht="16.5" customHeight="1" x14ac:dyDescent="0.2">
      <c r="A1633" s="37"/>
      <c r="L1633" s="37"/>
    </row>
    <row r="1634" spans="1:12" ht="16.5" customHeight="1" x14ac:dyDescent="0.2">
      <c r="A1634" s="37"/>
      <c r="L1634" s="37"/>
    </row>
    <row r="1635" spans="1:12" ht="16.5" customHeight="1" x14ac:dyDescent="0.2">
      <c r="A1635" s="37"/>
      <c r="L1635" s="37"/>
    </row>
    <row r="1636" spans="1:12" ht="16.5" customHeight="1" x14ac:dyDescent="0.2">
      <c r="A1636" s="37"/>
      <c r="L1636" s="37"/>
    </row>
    <row r="1637" spans="1:12" ht="16.5" customHeight="1" x14ac:dyDescent="0.2">
      <c r="A1637" s="37"/>
      <c r="L1637" s="37"/>
    </row>
    <row r="1638" spans="1:12" ht="16.5" customHeight="1" x14ac:dyDescent="0.2">
      <c r="A1638" s="37"/>
      <c r="L1638" s="37"/>
    </row>
    <row r="1639" spans="1:12" ht="16.5" customHeight="1" x14ac:dyDescent="0.2">
      <c r="A1639" s="37"/>
      <c r="L1639" s="37"/>
    </row>
    <row r="1640" spans="1:12" ht="16.5" customHeight="1" x14ac:dyDescent="0.2">
      <c r="A1640" s="37"/>
      <c r="L1640" s="37"/>
    </row>
    <row r="1641" spans="1:12" ht="16.5" customHeight="1" x14ac:dyDescent="0.2">
      <c r="A1641" s="37"/>
      <c r="L1641" s="37"/>
    </row>
    <row r="1642" spans="1:12" ht="16.5" customHeight="1" x14ac:dyDescent="0.2">
      <c r="A1642" s="37"/>
      <c r="L1642" s="37"/>
    </row>
    <row r="1643" spans="1:12" ht="16.5" customHeight="1" x14ac:dyDescent="0.2">
      <c r="A1643" s="37"/>
      <c r="L1643" s="37"/>
    </row>
    <row r="1644" spans="1:12" ht="16.5" customHeight="1" x14ac:dyDescent="0.2">
      <c r="A1644" s="37"/>
      <c r="L1644" s="37"/>
    </row>
    <row r="1645" spans="1:12" ht="16.5" customHeight="1" x14ac:dyDescent="0.2">
      <c r="A1645" s="37"/>
      <c r="L1645" s="37"/>
    </row>
    <row r="1646" spans="1:12" ht="16.5" customHeight="1" x14ac:dyDescent="0.2">
      <c r="A1646" s="37"/>
      <c r="L1646" s="37"/>
    </row>
    <row r="1647" spans="1:12" ht="16.5" customHeight="1" x14ac:dyDescent="0.2">
      <c r="A1647" s="37"/>
      <c r="L1647" s="37"/>
    </row>
    <row r="1648" spans="1:12" ht="16.5" customHeight="1" x14ac:dyDescent="0.2">
      <c r="A1648" s="37"/>
      <c r="L1648" s="37"/>
    </row>
    <row r="1649" spans="1:12" ht="16.5" customHeight="1" x14ac:dyDescent="0.2">
      <c r="A1649" s="37"/>
      <c r="L1649" s="37"/>
    </row>
    <row r="1650" spans="1:12" ht="16.5" customHeight="1" x14ac:dyDescent="0.2">
      <c r="A1650" s="37"/>
      <c r="L1650" s="37"/>
    </row>
    <row r="1651" spans="1:12" ht="16.5" customHeight="1" x14ac:dyDescent="0.2">
      <c r="A1651" s="37"/>
      <c r="L1651" s="37"/>
    </row>
    <row r="1652" spans="1:12" ht="16.5" customHeight="1" x14ac:dyDescent="0.2">
      <c r="A1652" s="37"/>
      <c r="L1652" s="37"/>
    </row>
    <row r="1653" spans="1:12" ht="16.5" customHeight="1" x14ac:dyDescent="0.2">
      <c r="A1653" s="37"/>
      <c r="L1653" s="37"/>
    </row>
    <row r="1654" spans="1:12" ht="16.5" customHeight="1" x14ac:dyDescent="0.2">
      <c r="A1654" s="37"/>
      <c r="L1654" s="37"/>
    </row>
    <row r="1655" spans="1:12" ht="16.5" customHeight="1" x14ac:dyDescent="0.2">
      <c r="A1655" s="37"/>
      <c r="L1655" s="37"/>
    </row>
    <row r="1656" spans="1:12" ht="16.5" customHeight="1" x14ac:dyDescent="0.2">
      <c r="A1656" s="37"/>
      <c r="L1656" s="37"/>
    </row>
    <row r="1657" spans="1:12" ht="16.5" customHeight="1" x14ac:dyDescent="0.2">
      <c r="A1657" s="37"/>
      <c r="L1657" s="37"/>
    </row>
    <row r="1658" spans="1:12" ht="16.5" customHeight="1" x14ac:dyDescent="0.2">
      <c r="A1658" s="37"/>
      <c r="L1658" s="37"/>
    </row>
    <row r="1659" spans="1:12" ht="16.5" customHeight="1" x14ac:dyDescent="0.2">
      <c r="A1659" s="37"/>
      <c r="L1659" s="37"/>
    </row>
    <row r="1660" spans="1:12" ht="16.5" customHeight="1" x14ac:dyDescent="0.2">
      <c r="A1660" s="37"/>
      <c r="L1660" s="37"/>
    </row>
    <row r="1661" spans="1:12" ht="16.5" customHeight="1" x14ac:dyDescent="0.2">
      <c r="A1661" s="37"/>
      <c r="L1661" s="37"/>
    </row>
    <row r="1662" spans="1:12" ht="16.5" customHeight="1" x14ac:dyDescent="0.2">
      <c r="A1662" s="37"/>
      <c r="L1662" s="37"/>
    </row>
    <row r="1663" spans="1:12" ht="16.5" customHeight="1" x14ac:dyDescent="0.2">
      <c r="A1663" s="37"/>
      <c r="L1663" s="37"/>
    </row>
    <row r="1664" spans="1:12" ht="16.5" customHeight="1" x14ac:dyDescent="0.2">
      <c r="A1664" s="37"/>
      <c r="L1664" s="37"/>
    </row>
    <row r="1665" spans="1:12" ht="16.5" customHeight="1" x14ac:dyDescent="0.2">
      <c r="A1665" s="37"/>
      <c r="L1665" s="37"/>
    </row>
    <row r="1666" spans="1:12" ht="16.5" customHeight="1" x14ac:dyDescent="0.2">
      <c r="A1666" s="37"/>
      <c r="L1666" s="37"/>
    </row>
    <row r="1667" spans="1:12" ht="16.5" customHeight="1" x14ac:dyDescent="0.2">
      <c r="A1667" s="37"/>
      <c r="L1667" s="37"/>
    </row>
    <row r="1668" spans="1:12" ht="16.5" customHeight="1" x14ac:dyDescent="0.2">
      <c r="A1668" s="37"/>
      <c r="L1668" s="37"/>
    </row>
    <row r="1669" spans="1:12" ht="16.5" customHeight="1" x14ac:dyDescent="0.2">
      <c r="A1669" s="37"/>
      <c r="L1669" s="37"/>
    </row>
    <row r="1670" spans="1:12" ht="16.5" customHeight="1" x14ac:dyDescent="0.2">
      <c r="A1670" s="37"/>
      <c r="L1670" s="37"/>
    </row>
    <row r="1671" spans="1:12" ht="16.5" customHeight="1" x14ac:dyDescent="0.2">
      <c r="A1671" s="37"/>
      <c r="L1671" s="37"/>
    </row>
    <row r="1672" spans="1:12" ht="16.5" customHeight="1" x14ac:dyDescent="0.2">
      <c r="A1672" s="37"/>
      <c r="L1672" s="37"/>
    </row>
    <row r="1673" spans="1:12" ht="16.5" customHeight="1" x14ac:dyDescent="0.2">
      <c r="A1673" s="37"/>
      <c r="L1673" s="37"/>
    </row>
    <row r="1674" spans="1:12" ht="16.5" customHeight="1" x14ac:dyDescent="0.2">
      <c r="A1674" s="37"/>
      <c r="L1674" s="37"/>
    </row>
    <row r="1675" spans="1:12" ht="16.5" customHeight="1" x14ac:dyDescent="0.2">
      <c r="A1675" s="37"/>
      <c r="L1675" s="37"/>
    </row>
    <row r="1676" spans="1:12" ht="16.5" customHeight="1" x14ac:dyDescent="0.2">
      <c r="A1676" s="37"/>
      <c r="L1676" s="37"/>
    </row>
    <row r="1677" spans="1:12" ht="16.5" customHeight="1" x14ac:dyDescent="0.2">
      <c r="A1677" s="37"/>
      <c r="L1677" s="37"/>
    </row>
    <row r="1678" spans="1:12" ht="16.5" customHeight="1" x14ac:dyDescent="0.2">
      <c r="A1678" s="37"/>
      <c r="L1678" s="37"/>
    </row>
    <row r="1679" spans="1:12" ht="16.5" customHeight="1" x14ac:dyDescent="0.2">
      <c r="A1679" s="37"/>
      <c r="L1679" s="37"/>
    </row>
    <row r="1680" spans="1:12" ht="16.5" customHeight="1" x14ac:dyDescent="0.2">
      <c r="A1680" s="37"/>
      <c r="L1680" s="37"/>
    </row>
    <row r="1681" spans="1:12" ht="16.5" customHeight="1" x14ac:dyDescent="0.2">
      <c r="A1681" s="37"/>
      <c r="L1681" s="37"/>
    </row>
    <row r="1682" spans="1:12" ht="16.5" customHeight="1" x14ac:dyDescent="0.2">
      <c r="A1682" s="37"/>
      <c r="L1682" s="37"/>
    </row>
    <row r="1683" spans="1:12" ht="16.5" customHeight="1" x14ac:dyDescent="0.2">
      <c r="A1683" s="37"/>
      <c r="L1683" s="37"/>
    </row>
    <row r="1684" spans="1:12" ht="16.5" customHeight="1" x14ac:dyDescent="0.2">
      <c r="A1684" s="37"/>
      <c r="L1684" s="37"/>
    </row>
    <row r="1685" spans="1:12" ht="16.5" customHeight="1" x14ac:dyDescent="0.2">
      <c r="A1685" s="37"/>
      <c r="L1685" s="37"/>
    </row>
    <row r="1686" spans="1:12" ht="16.5" customHeight="1" x14ac:dyDescent="0.2">
      <c r="A1686" s="37"/>
      <c r="L1686" s="37"/>
    </row>
    <row r="1687" spans="1:12" ht="16.5" customHeight="1" x14ac:dyDescent="0.2">
      <c r="A1687" s="37"/>
      <c r="L1687" s="37"/>
    </row>
    <row r="1688" spans="1:12" ht="16.5" customHeight="1" x14ac:dyDescent="0.2">
      <c r="A1688" s="37"/>
      <c r="L1688" s="37"/>
    </row>
    <row r="1689" spans="1:12" ht="16.5" customHeight="1" x14ac:dyDescent="0.2">
      <c r="A1689" s="37"/>
      <c r="L1689" s="37"/>
    </row>
    <row r="1690" spans="1:12" ht="16.5" customHeight="1" x14ac:dyDescent="0.2">
      <c r="A1690" s="37"/>
      <c r="L1690" s="37"/>
    </row>
    <row r="1691" spans="1:12" ht="16.5" customHeight="1" x14ac:dyDescent="0.2">
      <c r="A1691" s="37"/>
      <c r="L1691" s="37"/>
    </row>
    <row r="1692" spans="1:12" ht="16.5" customHeight="1" x14ac:dyDescent="0.2">
      <c r="A1692" s="37"/>
      <c r="L1692" s="37"/>
    </row>
    <row r="1693" spans="1:12" ht="16.5" customHeight="1" x14ac:dyDescent="0.2">
      <c r="A1693" s="37"/>
      <c r="L1693" s="37"/>
    </row>
    <row r="1694" spans="1:12" ht="16.5" customHeight="1" x14ac:dyDescent="0.2">
      <c r="A1694" s="37"/>
      <c r="L1694" s="37"/>
    </row>
    <row r="1695" spans="1:12" ht="16.5" customHeight="1" x14ac:dyDescent="0.2">
      <c r="A1695" s="37"/>
      <c r="L1695" s="37"/>
    </row>
    <row r="1696" spans="1:12" ht="16.5" customHeight="1" x14ac:dyDescent="0.2">
      <c r="A1696" s="37"/>
      <c r="L1696" s="37"/>
    </row>
    <row r="1697" spans="1:12" ht="16.5" customHeight="1" x14ac:dyDescent="0.2">
      <c r="A1697" s="37"/>
      <c r="L1697" s="37"/>
    </row>
    <row r="1698" spans="1:12" ht="16.5" customHeight="1" x14ac:dyDescent="0.2">
      <c r="A1698" s="37"/>
      <c r="L1698" s="37"/>
    </row>
    <row r="1699" spans="1:12" ht="16.5" customHeight="1" x14ac:dyDescent="0.2">
      <c r="A1699" s="37"/>
      <c r="L1699" s="37"/>
    </row>
    <row r="1700" spans="1:12" ht="16.5" customHeight="1" x14ac:dyDescent="0.2">
      <c r="A1700" s="37"/>
      <c r="L1700" s="37"/>
    </row>
    <row r="1701" spans="1:12" ht="16.5" customHeight="1" x14ac:dyDescent="0.2">
      <c r="A1701" s="37"/>
      <c r="L1701" s="37"/>
    </row>
    <row r="1702" spans="1:12" ht="16.5" customHeight="1" x14ac:dyDescent="0.2">
      <c r="A1702" s="37"/>
      <c r="L1702" s="37"/>
    </row>
    <row r="1703" spans="1:12" ht="16.5" customHeight="1" x14ac:dyDescent="0.2">
      <c r="A1703" s="37"/>
      <c r="L1703" s="37"/>
    </row>
    <row r="1704" spans="1:12" ht="16.5" customHeight="1" x14ac:dyDescent="0.2">
      <c r="A1704" s="37"/>
      <c r="L1704" s="37"/>
    </row>
    <row r="1705" spans="1:12" ht="16.5" customHeight="1" x14ac:dyDescent="0.2">
      <c r="A1705" s="37"/>
      <c r="L1705" s="37"/>
    </row>
    <row r="1706" spans="1:12" ht="16.5" customHeight="1" x14ac:dyDescent="0.2">
      <c r="A1706" s="37"/>
      <c r="L1706" s="37"/>
    </row>
    <row r="1707" spans="1:12" ht="16.5" customHeight="1" x14ac:dyDescent="0.2">
      <c r="A1707" s="37"/>
      <c r="L1707" s="37"/>
    </row>
    <row r="1708" spans="1:12" ht="16.5" customHeight="1" x14ac:dyDescent="0.2">
      <c r="A1708" s="37"/>
      <c r="L1708" s="37"/>
    </row>
    <row r="1709" spans="1:12" ht="16.5" customHeight="1" x14ac:dyDescent="0.2">
      <c r="A1709" s="37"/>
      <c r="L1709" s="37"/>
    </row>
    <row r="1710" spans="1:12" ht="16.5" customHeight="1" x14ac:dyDescent="0.2">
      <c r="A1710" s="37"/>
      <c r="L1710" s="37"/>
    </row>
    <row r="1711" spans="1:12" ht="16.5" customHeight="1" x14ac:dyDescent="0.2">
      <c r="A1711" s="37"/>
      <c r="L1711" s="37"/>
    </row>
    <row r="1712" spans="1:12" ht="16.5" customHeight="1" x14ac:dyDescent="0.2">
      <c r="A1712" s="37"/>
      <c r="L1712" s="37"/>
    </row>
    <row r="1713" spans="1:12" ht="16.5" customHeight="1" x14ac:dyDescent="0.2">
      <c r="A1713" s="37"/>
      <c r="L1713" s="37"/>
    </row>
    <row r="1714" spans="1:12" ht="16.5" customHeight="1" x14ac:dyDescent="0.2">
      <c r="A1714" s="37"/>
      <c r="L1714" s="37"/>
    </row>
    <row r="1715" spans="1:12" ht="16.5" customHeight="1" x14ac:dyDescent="0.2">
      <c r="A1715" s="37"/>
      <c r="L1715" s="37"/>
    </row>
    <row r="1716" spans="1:12" ht="16.5" customHeight="1" x14ac:dyDescent="0.2">
      <c r="A1716" s="37"/>
      <c r="L1716" s="37"/>
    </row>
    <row r="1717" spans="1:12" ht="16.5" customHeight="1" x14ac:dyDescent="0.2">
      <c r="A1717" s="37"/>
      <c r="L1717" s="37"/>
    </row>
    <row r="1718" spans="1:12" ht="16.5" customHeight="1" x14ac:dyDescent="0.2">
      <c r="A1718" s="37"/>
      <c r="L1718" s="37"/>
    </row>
    <row r="1719" spans="1:12" ht="16.5" customHeight="1" x14ac:dyDescent="0.2">
      <c r="A1719" s="37"/>
      <c r="L1719" s="37"/>
    </row>
    <row r="1720" spans="1:12" ht="16.5" customHeight="1" x14ac:dyDescent="0.2">
      <c r="A1720" s="37"/>
      <c r="L1720" s="37"/>
    </row>
    <row r="1721" spans="1:12" ht="16.5" customHeight="1" x14ac:dyDescent="0.2">
      <c r="A1721" s="37"/>
      <c r="L1721" s="37"/>
    </row>
    <row r="1722" spans="1:12" ht="16.5" customHeight="1" x14ac:dyDescent="0.2">
      <c r="A1722" s="37"/>
      <c r="L1722" s="37"/>
    </row>
    <row r="1723" spans="1:12" ht="16.5" customHeight="1" x14ac:dyDescent="0.2">
      <c r="A1723" s="37"/>
      <c r="L1723" s="37"/>
    </row>
    <row r="1724" spans="1:12" ht="16.5" customHeight="1" x14ac:dyDescent="0.2">
      <c r="A1724" s="37"/>
      <c r="L1724" s="37"/>
    </row>
    <row r="1725" spans="1:12" ht="16.5" customHeight="1" x14ac:dyDescent="0.2">
      <c r="A1725" s="37"/>
      <c r="L1725" s="37"/>
    </row>
    <row r="1726" spans="1:12" ht="16.5" customHeight="1" x14ac:dyDescent="0.2">
      <c r="A1726" s="37"/>
      <c r="L1726" s="37"/>
    </row>
    <row r="1727" spans="1:12" ht="16.5" customHeight="1" x14ac:dyDescent="0.2">
      <c r="A1727" s="37"/>
      <c r="L1727" s="37"/>
    </row>
    <row r="1728" spans="1:12" ht="16.5" customHeight="1" x14ac:dyDescent="0.2">
      <c r="A1728" s="37"/>
      <c r="L1728" s="37"/>
    </row>
    <row r="1729" spans="1:12" ht="16.5" customHeight="1" x14ac:dyDescent="0.2">
      <c r="A1729" s="37"/>
      <c r="L1729" s="37"/>
    </row>
    <row r="1730" spans="1:12" ht="16.5" customHeight="1" x14ac:dyDescent="0.2">
      <c r="A1730" s="37"/>
      <c r="L1730" s="37"/>
    </row>
    <row r="1731" spans="1:12" ht="16.5" customHeight="1" x14ac:dyDescent="0.2">
      <c r="A1731" s="37"/>
      <c r="L1731" s="37"/>
    </row>
    <row r="1732" spans="1:12" ht="16.5" customHeight="1" x14ac:dyDescent="0.2">
      <c r="A1732" s="37"/>
      <c r="L1732" s="37"/>
    </row>
    <row r="1733" spans="1:12" ht="16.5" customHeight="1" x14ac:dyDescent="0.2">
      <c r="A1733" s="37"/>
      <c r="L1733" s="37"/>
    </row>
    <row r="1734" spans="1:12" ht="16.5" customHeight="1" x14ac:dyDescent="0.2">
      <c r="A1734" s="37"/>
      <c r="L1734" s="37"/>
    </row>
    <row r="1735" spans="1:12" ht="16.5" customHeight="1" x14ac:dyDescent="0.2">
      <c r="A1735" s="37"/>
      <c r="L1735" s="37"/>
    </row>
    <row r="1736" spans="1:12" ht="16.5" customHeight="1" x14ac:dyDescent="0.2">
      <c r="A1736" s="37"/>
      <c r="L1736" s="37"/>
    </row>
    <row r="1737" spans="1:12" ht="16.5" customHeight="1" x14ac:dyDescent="0.2">
      <c r="A1737" s="37"/>
      <c r="L1737" s="37"/>
    </row>
    <row r="1738" spans="1:12" ht="16.5" customHeight="1" x14ac:dyDescent="0.2">
      <c r="A1738" s="37"/>
      <c r="L1738" s="37"/>
    </row>
    <row r="1739" spans="1:12" ht="16.5" customHeight="1" x14ac:dyDescent="0.2">
      <c r="A1739" s="37"/>
      <c r="L1739" s="37"/>
    </row>
    <row r="1740" spans="1:12" ht="16.5" customHeight="1" x14ac:dyDescent="0.2">
      <c r="A1740" s="37"/>
      <c r="L1740" s="37"/>
    </row>
    <row r="1741" spans="1:12" ht="16.5" customHeight="1" x14ac:dyDescent="0.2">
      <c r="A1741" s="37"/>
      <c r="L1741" s="37"/>
    </row>
    <row r="1742" spans="1:12" ht="16.5" customHeight="1" x14ac:dyDescent="0.2">
      <c r="A1742" s="37"/>
      <c r="L1742" s="37"/>
    </row>
    <row r="1743" spans="1:12" ht="16.5" customHeight="1" x14ac:dyDescent="0.2">
      <c r="A1743" s="37"/>
      <c r="L1743" s="37"/>
    </row>
    <row r="1744" spans="1:12" ht="16.5" customHeight="1" x14ac:dyDescent="0.2">
      <c r="A1744" s="37"/>
      <c r="L1744" s="37"/>
    </row>
    <row r="1745" spans="1:12" ht="16.5" customHeight="1" x14ac:dyDescent="0.2">
      <c r="A1745" s="37"/>
      <c r="L1745" s="37"/>
    </row>
    <row r="1746" spans="1:12" ht="16.5" customHeight="1" x14ac:dyDescent="0.2">
      <c r="A1746" s="37"/>
      <c r="L1746" s="37"/>
    </row>
    <row r="1747" spans="1:12" ht="16.5" customHeight="1" x14ac:dyDescent="0.2">
      <c r="A1747" s="37"/>
      <c r="L1747" s="37"/>
    </row>
    <row r="1748" spans="1:12" ht="16.5" customHeight="1" x14ac:dyDescent="0.2">
      <c r="A1748" s="37"/>
      <c r="L1748" s="37"/>
    </row>
    <row r="1749" spans="1:12" ht="16.5" customHeight="1" x14ac:dyDescent="0.2">
      <c r="A1749" s="37"/>
      <c r="L1749" s="37"/>
    </row>
    <row r="1750" spans="1:12" ht="16.5" customHeight="1" x14ac:dyDescent="0.2">
      <c r="A1750" s="37"/>
      <c r="L1750" s="37"/>
    </row>
    <row r="1751" spans="1:12" ht="16.5" customHeight="1" x14ac:dyDescent="0.2">
      <c r="A1751" s="37"/>
      <c r="L1751" s="37"/>
    </row>
    <row r="1752" spans="1:12" ht="16.5" customHeight="1" x14ac:dyDescent="0.2">
      <c r="A1752" s="37"/>
      <c r="L1752" s="37"/>
    </row>
    <row r="1753" spans="1:12" ht="16.5" customHeight="1" x14ac:dyDescent="0.2">
      <c r="A1753" s="37"/>
      <c r="L1753" s="37"/>
    </row>
    <row r="1754" spans="1:12" ht="16.5" customHeight="1" x14ac:dyDescent="0.2">
      <c r="A1754" s="37"/>
      <c r="L1754" s="37"/>
    </row>
    <row r="1755" spans="1:12" ht="16.5" customHeight="1" x14ac:dyDescent="0.2">
      <c r="A1755" s="37"/>
      <c r="L1755" s="37"/>
    </row>
    <row r="1756" spans="1:12" ht="16.5" customHeight="1" x14ac:dyDescent="0.2">
      <c r="A1756" s="37"/>
      <c r="L1756" s="37"/>
    </row>
    <row r="1757" spans="1:12" ht="16.5" customHeight="1" x14ac:dyDescent="0.2">
      <c r="A1757" s="37"/>
      <c r="L1757" s="37"/>
    </row>
    <row r="1758" spans="1:12" ht="16.5" customHeight="1" x14ac:dyDescent="0.2">
      <c r="A1758" s="37"/>
      <c r="L1758" s="37"/>
    </row>
    <row r="1759" spans="1:12" ht="16.5" customHeight="1" x14ac:dyDescent="0.2">
      <c r="A1759" s="37"/>
      <c r="L1759" s="37"/>
    </row>
    <row r="1760" spans="1:12" ht="16.5" customHeight="1" x14ac:dyDescent="0.2">
      <c r="A1760" s="37"/>
      <c r="L1760" s="37"/>
    </row>
    <row r="1761" spans="1:12" ht="16.5" customHeight="1" x14ac:dyDescent="0.2">
      <c r="A1761" s="37"/>
      <c r="L1761" s="37"/>
    </row>
    <row r="1762" spans="1:12" ht="16.5" customHeight="1" x14ac:dyDescent="0.2">
      <c r="A1762" s="37"/>
      <c r="L1762" s="37"/>
    </row>
    <row r="1763" spans="1:12" ht="16.5" customHeight="1" x14ac:dyDescent="0.2">
      <c r="A1763" s="37"/>
      <c r="L1763" s="37"/>
    </row>
    <row r="1764" spans="1:12" ht="16.5" customHeight="1" x14ac:dyDescent="0.2">
      <c r="A1764" s="37"/>
      <c r="L1764" s="37"/>
    </row>
    <row r="1765" spans="1:12" ht="16.5" customHeight="1" x14ac:dyDescent="0.2">
      <c r="A1765" s="37"/>
      <c r="L1765" s="37"/>
    </row>
    <row r="1766" spans="1:12" ht="16.5" customHeight="1" x14ac:dyDescent="0.2">
      <c r="A1766" s="37"/>
      <c r="L1766" s="37"/>
    </row>
    <row r="1767" spans="1:12" ht="16.5" customHeight="1" x14ac:dyDescent="0.2">
      <c r="A1767" s="37"/>
      <c r="L1767" s="37"/>
    </row>
    <row r="1768" spans="1:12" ht="16.5" customHeight="1" x14ac:dyDescent="0.2">
      <c r="A1768" s="37"/>
      <c r="L1768" s="37"/>
    </row>
    <row r="1769" spans="1:12" ht="16.5" customHeight="1" x14ac:dyDescent="0.2">
      <c r="A1769" s="37"/>
      <c r="L1769" s="37"/>
    </row>
    <row r="1770" spans="1:12" ht="16.5" customHeight="1" x14ac:dyDescent="0.2">
      <c r="A1770" s="37"/>
      <c r="L1770" s="37"/>
    </row>
    <row r="1771" spans="1:12" ht="16.5" customHeight="1" x14ac:dyDescent="0.2">
      <c r="A1771" s="37"/>
      <c r="L1771" s="37"/>
    </row>
    <row r="1772" spans="1:12" ht="16.5" customHeight="1" x14ac:dyDescent="0.2">
      <c r="A1772" s="37"/>
      <c r="L1772" s="37"/>
    </row>
    <row r="1773" spans="1:12" ht="16.5" customHeight="1" x14ac:dyDescent="0.2">
      <c r="A1773" s="37"/>
      <c r="L1773" s="37"/>
    </row>
    <row r="1774" spans="1:12" ht="16.5" customHeight="1" x14ac:dyDescent="0.2">
      <c r="A1774" s="37"/>
      <c r="L1774" s="37"/>
    </row>
    <row r="1775" spans="1:12" ht="16.5" customHeight="1" x14ac:dyDescent="0.2">
      <c r="A1775" s="37"/>
      <c r="L1775" s="37"/>
    </row>
    <row r="1776" spans="1:12" ht="16.5" customHeight="1" x14ac:dyDescent="0.2">
      <c r="A1776" s="37"/>
      <c r="L1776" s="37"/>
    </row>
    <row r="1777" spans="1:12" ht="16.5" customHeight="1" x14ac:dyDescent="0.2">
      <c r="A1777" s="37"/>
      <c r="L1777" s="37"/>
    </row>
    <row r="1778" spans="1:12" ht="16.5" customHeight="1" x14ac:dyDescent="0.2">
      <c r="A1778" s="37"/>
      <c r="L1778" s="37"/>
    </row>
    <row r="1779" spans="1:12" ht="16.5" customHeight="1" x14ac:dyDescent="0.2">
      <c r="A1779" s="37"/>
      <c r="L1779" s="37"/>
    </row>
    <row r="1780" spans="1:12" ht="16.5" customHeight="1" x14ac:dyDescent="0.2">
      <c r="A1780" s="37"/>
      <c r="L1780" s="37"/>
    </row>
    <row r="1781" spans="1:12" ht="16.5" customHeight="1" x14ac:dyDescent="0.2">
      <c r="A1781" s="37"/>
      <c r="L1781" s="37"/>
    </row>
    <row r="1782" spans="1:12" ht="16.5" customHeight="1" x14ac:dyDescent="0.2">
      <c r="A1782" s="37"/>
      <c r="L1782" s="37"/>
    </row>
    <row r="1783" spans="1:12" ht="16.5" customHeight="1" x14ac:dyDescent="0.2">
      <c r="A1783" s="37"/>
      <c r="L1783" s="37"/>
    </row>
    <row r="1784" spans="1:12" ht="16.5" customHeight="1" x14ac:dyDescent="0.2">
      <c r="A1784" s="37"/>
      <c r="L1784" s="37"/>
    </row>
    <row r="1785" spans="1:12" ht="16.5" customHeight="1" x14ac:dyDescent="0.2">
      <c r="A1785" s="37"/>
      <c r="L1785" s="37"/>
    </row>
    <row r="1786" spans="1:12" ht="16.5" customHeight="1" x14ac:dyDescent="0.2">
      <c r="A1786" s="37"/>
      <c r="L1786" s="37"/>
    </row>
    <row r="1787" spans="1:12" ht="16.5" customHeight="1" x14ac:dyDescent="0.2">
      <c r="A1787" s="37"/>
      <c r="L1787" s="37"/>
    </row>
    <row r="1788" spans="1:12" ht="16.5" customHeight="1" x14ac:dyDescent="0.2">
      <c r="A1788" s="37"/>
      <c r="L1788" s="37"/>
    </row>
    <row r="1789" spans="1:12" ht="16.5" customHeight="1" x14ac:dyDescent="0.2">
      <c r="A1789" s="37"/>
      <c r="L1789" s="37"/>
    </row>
    <row r="1790" spans="1:12" ht="16.5" customHeight="1" x14ac:dyDescent="0.2">
      <c r="A1790" s="37"/>
      <c r="L1790" s="37"/>
    </row>
    <row r="1791" spans="1:12" ht="16.5" customHeight="1" x14ac:dyDescent="0.2">
      <c r="A1791" s="37"/>
      <c r="L1791" s="37"/>
    </row>
    <row r="1792" spans="1:12" ht="16.5" customHeight="1" x14ac:dyDescent="0.2">
      <c r="A1792" s="37"/>
      <c r="L1792" s="37"/>
    </row>
    <row r="1793" spans="1:12" ht="16.5" customHeight="1" x14ac:dyDescent="0.2">
      <c r="A1793" s="37"/>
      <c r="L1793" s="37"/>
    </row>
    <row r="1794" spans="1:12" ht="16.5" customHeight="1" x14ac:dyDescent="0.2">
      <c r="A1794" s="37"/>
      <c r="L1794" s="37"/>
    </row>
    <row r="1795" spans="1:12" ht="16.5" customHeight="1" x14ac:dyDescent="0.2">
      <c r="A1795" s="37"/>
      <c r="L1795" s="37"/>
    </row>
    <row r="1796" spans="1:12" ht="16.5" customHeight="1" x14ac:dyDescent="0.2">
      <c r="A1796" s="37"/>
      <c r="L1796" s="37"/>
    </row>
    <row r="1797" spans="1:12" ht="16.5" customHeight="1" x14ac:dyDescent="0.2">
      <c r="A1797" s="37"/>
      <c r="L1797" s="37"/>
    </row>
    <row r="1798" spans="1:12" ht="16.5" customHeight="1" x14ac:dyDescent="0.2">
      <c r="A1798" s="37"/>
      <c r="L1798" s="37"/>
    </row>
    <row r="1799" spans="1:12" ht="16.5" customHeight="1" x14ac:dyDescent="0.2">
      <c r="A1799" s="37"/>
      <c r="L1799" s="37"/>
    </row>
    <row r="1800" spans="1:12" ht="16.5" customHeight="1" x14ac:dyDescent="0.2">
      <c r="A1800" s="37"/>
      <c r="L1800" s="37"/>
    </row>
    <row r="1801" spans="1:12" ht="16.5" customHeight="1" x14ac:dyDescent="0.2">
      <c r="A1801" s="37"/>
      <c r="L1801" s="37"/>
    </row>
    <row r="1802" spans="1:12" ht="16.5" customHeight="1" x14ac:dyDescent="0.2">
      <c r="A1802" s="37"/>
      <c r="L1802" s="37"/>
    </row>
    <row r="1803" spans="1:12" ht="16.5" customHeight="1" x14ac:dyDescent="0.2">
      <c r="A1803" s="37"/>
      <c r="L1803" s="37"/>
    </row>
    <row r="1804" spans="1:12" ht="16.5" customHeight="1" x14ac:dyDescent="0.2">
      <c r="A1804" s="37"/>
      <c r="L1804" s="37"/>
    </row>
    <row r="1805" spans="1:12" ht="16.5" customHeight="1" x14ac:dyDescent="0.2">
      <c r="A1805" s="37"/>
      <c r="L1805" s="37"/>
    </row>
    <row r="1806" spans="1:12" ht="16.5" customHeight="1" x14ac:dyDescent="0.2">
      <c r="A1806" s="37"/>
      <c r="L1806" s="37"/>
    </row>
    <row r="1807" spans="1:12" ht="16.5" customHeight="1" x14ac:dyDescent="0.2">
      <c r="A1807" s="37"/>
      <c r="L1807" s="37"/>
    </row>
    <row r="1808" spans="1:12" ht="16.5" customHeight="1" x14ac:dyDescent="0.2">
      <c r="A1808" s="37"/>
      <c r="L1808" s="37"/>
    </row>
    <row r="1809" spans="1:12" ht="16.5" customHeight="1" x14ac:dyDescent="0.2">
      <c r="A1809" s="37"/>
      <c r="L1809" s="37"/>
    </row>
    <row r="1810" spans="1:12" ht="16.5" customHeight="1" x14ac:dyDescent="0.2">
      <c r="A1810" s="37"/>
      <c r="L1810" s="37"/>
    </row>
    <row r="1811" spans="1:12" ht="16.5" customHeight="1" x14ac:dyDescent="0.2">
      <c r="A1811" s="37"/>
      <c r="L1811" s="37"/>
    </row>
    <row r="1812" spans="1:12" ht="16.5" customHeight="1" x14ac:dyDescent="0.2">
      <c r="A1812" s="37"/>
      <c r="L1812" s="37"/>
    </row>
    <row r="1813" spans="1:12" ht="16.5" customHeight="1" x14ac:dyDescent="0.2">
      <c r="A1813" s="37"/>
      <c r="L1813" s="37"/>
    </row>
    <row r="1814" spans="1:12" ht="16.5" customHeight="1" x14ac:dyDescent="0.2">
      <c r="A1814" s="37"/>
      <c r="L1814" s="37"/>
    </row>
    <row r="1815" spans="1:12" ht="16.5" customHeight="1" x14ac:dyDescent="0.2">
      <c r="A1815" s="37"/>
      <c r="L1815" s="37"/>
    </row>
    <row r="1816" spans="1:12" ht="16.5" customHeight="1" x14ac:dyDescent="0.2">
      <c r="A1816" s="37"/>
      <c r="L1816" s="37"/>
    </row>
    <row r="1817" spans="1:12" ht="16.5" customHeight="1" x14ac:dyDescent="0.2">
      <c r="A1817" s="37"/>
      <c r="L1817" s="37"/>
    </row>
    <row r="1818" spans="1:12" ht="16.5" customHeight="1" x14ac:dyDescent="0.2">
      <c r="A1818" s="37"/>
      <c r="L1818" s="37"/>
    </row>
    <row r="1819" spans="1:12" ht="16.5" customHeight="1" x14ac:dyDescent="0.2">
      <c r="A1819" s="37"/>
      <c r="L1819" s="37"/>
    </row>
    <row r="1820" spans="1:12" ht="16.5" customHeight="1" x14ac:dyDescent="0.2">
      <c r="A1820" s="37"/>
      <c r="L1820" s="37"/>
    </row>
    <row r="1821" spans="1:12" ht="16.5" customHeight="1" x14ac:dyDescent="0.2">
      <c r="A1821" s="37"/>
      <c r="L1821" s="37"/>
    </row>
    <row r="1822" spans="1:12" ht="16.5" customHeight="1" x14ac:dyDescent="0.2">
      <c r="A1822" s="37"/>
      <c r="L1822" s="37"/>
    </row>
    <row r="1823" spans="1:12" ht="16.5" customHeight="1" x14ac:dyDescent="0.2">
      <c r="A1823" s="37"/>
      <c r="L1823" s="37"/>
    </row>
    <row r="1824" spans="1:12" ht="16.5" customHeight="1" x14ac:dyDescent="0.2">
      <c r="A1824" s="37"/>
      <c r="L1824" s="37"/>
    </row>
    <row r="1825" spans="1:12" ht="16.5" customHeight="1" x14ac:dyDescent="0.2">
      <c r="A1825" s="37"/>
      <c r="L1825" s="37"/>
    </row>
    <row r="1826" spans="1:12" ht="16.5" customHeight="1" x14ac:dyDescent="0.2">
      <c r="A1826" s="37"/>
      <c r="L1826" s="37"/>
    </row>
    <row r="1827" spans="1:12" ht="16.5" customHeight="1" x14ac:dyDescent="0.2">
      <c r="A1827" s="37"/>
      <c r="L1827" s="37"/>
    </row>
    <row r="1828" spans="1:12" ht="16.5" customHeight="1" x14ac:dyDescent="0.2">
      <c r="A1828" s="37"/>
      <c r="L1828" s="37"/>
    </row>
    <row r="1829" spans="1:12" ht="16.5" customHeight="1" x14ac:dyDescent="0.2">
      <c r="A1829" s="37"/>
      <c r="L1829" s="37"/>
    </row>
    <row r="1830" spans="1:12" ht="16.5" customHeight="1" x14ac:dyDescent="0.2">
      <c r="A1830" s="37"/>
      <c r="L1830" s="37"/>
    </row>
    <row r="1831" spans="1:12" ht="16.5" customHeight="1" x14ac:dyDescent="0.2">
      <c r="A1831" s="37"/>
      <c r="L1831" s="37"/>
    </row>
    <row r="1832" spans="1:12" ht="16.5" customHeight="1" x14ac:dyDescent="0.2">
      <c r="A1832" s="37"/>
      <c r="L1832" s="37"/>
    </row>
    <row r="1833" spans="1:12" ht="16.5" customHeight="1" x14ac:dyDescent="0.2">
      <c r="A1833" s="37"/>
      <c r="L1833" s="37"/>
    </row>
    <row r="1834" spans="1:12" ht="16.5" customHeight="1" x14ac:dyDescent="0.2">
      <c r="A1834" s="37"/>
      <c r="L1834" s="37"/>
    </row>
    <row r="1835" spans="1:12" ht="16.5" customHeight="1" x14ac:dyDescent="0.2">
      <c r="A1835" s="37"/>
      <c r="L1835" s="37"/>
    </row>
    <row r="1836" spans="1:12" ht="16.5" customHeight="1" x14ac:dyDescent="0.2">
      <c r="A1836" s="37"/>
      <c r="L1836" s="37"/>
    </row>
    <row r="1837" spans="1:12" ht="16.5" customHeight="1" x14ac:dyDescent="0.2">
      <c r="A1837" s="37"/>
      <c r="L1837" s="37"/>
    </row>
    <row r="1838" spans="1:12" ht="16.5" customHeight="1" x14ac:dyDescent="0.2">
      <c r="A1838" s="37"/>
      <c r="L1838" s="37"/>
    </row>
    <row r="1839" spans="1:12" ht="16.5" customHeight="1" x14ac:dyDescent="0.2">
      <c r="A1839" s="37"/>
      <c r="L1839" s="37"/>
    </row>
    <row r="1840" spans="1:12" ht="16.5" customHeight="1" x14ac:dyDescent="0.2">
      <c r="A1840" s="37"/>
      <c r="L1840" s="37"/>
    </row>
    <row r="1841" spans="1:12" ht="16.5" customHeight="1" x14ac:dyDescent="0.2">
      <c r="A1841" s="37"/>
      <c r="L1841" s="37"/>
    </row>
    <row r="1842" spans="1:12" ht="16.5" customHeight="1" x14ac:dyDescent="0.2">
      <c r="A1842" s="37"/>
      <c r="L1842" s="37"/>
    </row>
    <row r="1843" spans="1:12" ht="16.5" customHeight="1" x14ac:dyDescent="0.2">
      <c r="A1843" s="37"/>
      <c r="L1843" s="37"/>
    </row>
    <row r="1844" spans="1:12" ht="16.5" customHeight="1" x14ac:dyDescent="0.2">
      <c r="A1844" s="37"/>
      <c r="L1844" s="37"/>
    </row>
    <row r="1845" spans="1:12" ht="16.5" customHeight="1" x14ac:dyDescent="0.2">
      <c r="A1845" s="37"/>
      <c r="L1845" s="37"/>
    </row>
    <row r="1846" spans="1:12" ht="16.5" customHeight="1" x14ac:dyDescent="0.2">
      <c r="A1846" s="37"/>
      <c r="L1846" s="37"/>
    </row>
    <row r="1847" spans="1:12" ht="16.5" customHeight="1" x14ac:dyDescent="0.2">
      <c r="A1847" s="37"/>
      <c r="L1847" s="37"/>
    </row>
    <row r="1848" spans="1:12" ht="16.5" customHeight="1" x14ac:dyDescent="0.2">
      <c r="A1848" s="37"/>
      <c r="L1848" s="37"/>
    </row>
    <row r="1849" spans="1:12" ht="16.5" customHeight="1" x14ac:dyDescent="0.2">
      <c r="A1849" s="37"/>
      <c r="L1849" s="37"/>
    </row>
    <row r="1850" spans="1:12" ht="16.5" customHeight="1" x14ac:dyDescent="0.2">
      <c r="A1850" s="37"/>
      <c r="L1850" s="37"/>
    </row>
    <row r="1851" spans="1:12" ht="16.5" customHeight="1" x14ac:dyDescent="0.2">
      <c r="A1851" s="37"/>
      <c r="L1851" s="37"/>
    </row>
    <row r="1852" spans="1:12" ht="16.5" customHeight="1" x14ac:dyDescent="0.2">
      <c r="A1852" s="37"/>
      <c r="L1852" s="37"/>
    </row>
    <row r="1853" spans="1:12" ht="16.5" customHeight="1" x14ac:dyDescent="0.2">
      <c r="A1853" s="37"/>
      <c r="L1853" s="37"/>
    </row>
    <row r="1854" spans="1:12" ht="16.5" customHeight="1" x14ac:dyDescent="0.2">
      <c r="A1854" s="37"/>
      <c r="L1854" s="37"/>
    </row>
    <row r="1855" spans="1:12" ht="16.5" customHeight="1" x14ac:dyDescent="0.2">
      <c r="A1855" s="37"/>
      <c r="L1855" s="37"/>
    </row>
    <row r="1856" spans="1:12" ht="16.5" customHeight="1" x14ac:dyDescent="0.2">
      <c r="A1856" s="37"/>
      <c r="L1856" s="37"/>
    </row>
    <row r="1857" spans="1:12" ht="16.5" customHeight="1" x14ac:dyDescent="0.2">
      <c r="A1857" s="37"/>
      <c r="L1857" s="37"/>
    </row>
    <row r="1858" spans="1:12" ht="16.5" customHeight="1" x14ac:dyDescent="0.2">
      <c r="A1858" s="37"/>
      <c r="L1858" s="37"/>
    </row>
    <row r="1859" spans="1:12" ht="16.5" customHeight="1" x14ac:dyDescent="0.2">
      <c r="A1859" s="37"/>
      <c r="L1859" s="37"/>
    </row>
    <row r="1860" spans="1:12" ht="16.5" customHeight="1" x14ac:dyDescent="0.2">
      <c r="A1860" s="37"/>
      <c r="L1860" s="37"/>
    </row>
    <row r="1861" spans="1:12" ht="16.5" customHeight="1" x14ac:dyDescent="0.2">
      <c r="A1861" s="37"/>
      <c r="L1861" s="37"/>
    </row>
    <row r="1862" spans="1:12" ht="16.5" customHeight="1" x14ac:dyDescent="0.2">
      <c r="A1862" s="37"/>
      <c r="L1862" s="37"/>
    </row>
    <row r="1863" spans="1:12" ht="16.5" customHeight="1" x14ac:dyDescent="0.2">
      <c r="A1863" s="37"/>
      <c r="L1863" s="37"/>
    </row>
    <row r="1864" spans="1:12" ht="16.5" customHeight="1" x14ac:dyDescent="0.2">
      <c r="A1864" s="37"/>
      <c r="L1864" s="37"/>
    </row>
    <row r="1865" spans="1:12" ht="16.5" customHeight="1" x14ac:dyDescent="0.2">
      <c r="A1865" s="37"/>
      <c r="L1865" s="37"/>
    </row>
    <row r="1866" spans="1:12" ht="16.5" customHeight="1" x14ac:dyDescent="0.2">
      <c r="A1866" s="37"/>
      <c r="L1866" s="37"/>
    </row>
    <row r="1867" spans="1:12" ht="16.5" customHeight="1" x14ac:dyDescent="0.2">
      <c r="A1867" s="37"/>
      <c r="L1867" s="37"/>
    </row>
    <row r="1868" spans="1:12" ht="16.5" customHeight="1" x14ac:dyDescent="0.2">
      <c r="A1868" s="37"/>
      <c r="L1868" s="37"/>
    </row>
    <row r="1869" spans="1:12" ht="16.5" customHeight="1" x14ac:dyDescent="0.2">
      <c r="A1869" s="37"/>
      <c r="L1869" s="37"/>
    </row>
    <row r="1870" spans="1:12" ht="16.5" customHeight="1" x14ac:dyDescent="0.2">
      <c r="A1870" s="37"/>
      <c r="L1870" s="37"/>
    </row>
    <row r="1871" spans="1:12" ht="16.5" customHeight="1" x14ac:dyDescent="0.2">
      <c r="A1871" s="37"/>
      <c r="L1871" s="37"/>
    </row>
    <row r="1872" spans="1:12" ht="16.5" customHeight="1" x14ac:dyDescent="0.2">
      <c r="A1872" s="37"/>
      <c r="L1872" s="37"/>
    </row>
    <row r="1873" spans="1:12" ht="16.5" customHeight="1" x14ac:dyDescent="0.2">
      <c r="A1873" s="37"/>
      <c r="L1873" s="37"/>
    </row>
    <row r="1874" spans="1:12" ht="16.5" customHeight="1" x14ac:dyDescent="0.2">
      <c r="A1874" s="37"/>
      <c r="L1874" s="37"/>
    </row>
    <row r="1875" spans="1:12" ht="16.5" customHeight="1" x14ac:dyDescent="0.2">
      <c r="A1875" s="37"/>
      <c r="L1875" s="37"/>
    </row>
    <row r="1876" spans="1:12" ht="16.5" customHeight="1" x14ac:dyDescent="0.2">
      <c r="A1876" s="37"/>
      <c r="L1876" s="37"/>
    </row>
    <row r="1877" spans="1:12" ht="16.5" customHeight="1" x14ac:dyDescent="0.2">
      <c r="A1877" s="37"/>
      <c r="L1877" s="37"/>
    </row>
    <row r="1878" spans="1:12" ht="16.5" customHeight="1" x14ac:dyDescent="0.2">
      <c r="A1878" s="37"/>
      <c r="L1878" s="37"/>
    </row>
    <row r="1879" spans="1:12" ht="16.5" customHeight="1" x14ac:dyDescent="0.2">
      <c r="A1879" s="37"/>
      <c r="L1879" s="37"/>
    </row>
    <row r="1880" spans="1:12" ht="16.5" customHeight="1" x14ac:dyDescent="0.2">
      <c r="A1880" s="37"/>
      <c r="L1880" s="37"/>
    </row>
    <row r="1881" spans="1:12" ht="16.5" customHeight="1" x14ac:dyDescent="0.2">
      <c r="A1881" s="37"/>
      <c r="L1881" s="37"/>
    </row>
    <row r="1882" spans="1:12" ht="16.5" customHeight="1" x14ac:dyDescent="0.2">
      <c r="A1882" s="37"/>
      <c r="L1882" s="37"/>
    </row>
    <row r="1883" spans="1:12" ht="16.5" customHeight="1" x14ac:dyDescent="0.2">
      <c r="A1883" s="37"/>
      <c r="L1883" s="37"/>
    </row>
    <row r="1884" spans="1:12" ht="16.5" customHeight="1" x14ac:dyDescent="0.2">
      <c r="A1884" s="37"/>
      <c r="L1884" s="37"/>
    </row>
    <row r="1885" spans="1:12" ht="16.5" customHeight="1" x14ac:dyDescent="0.2">
      <c r="A1885" s="37"/>
      <c r="L1885" s="37"/>
    </row>
    <row r="1886" spans="1:12" ht="16.5" customHeight="1" x14ac:dyDescent="0.2">
      <c r="A1886" s="37"/>
      <c r="L1886" s="37"/>
    </row>
    <row r="1887" spans="1:12" ht="16.5" customHeight="1" x14ac:dyDescent="0.2">
      <c r="A1887" s="37"/>
      <c r="L1887" s="37"/>
    </row>
    <row r="1888" spans="1:12" ht="16.5" customHeight="1" x14ac:dyDescent="0.2">
      <c r="A1888" s="37"/>
      <c r="L1888" s="37"/>
    </row>
    <row r="1889" spans="1:12" ht="16.5" customHeight="1" x14ac:dyDescent="0.2">
      <c r="A1889" s="37"/>
      <c r="L1889" s="37"/>
    </row>
    <row r="1890" spans="1:12" ht="16.5" customHeight="1" x14ac:dyDescent="0.2">
      <c r="A1890" s="37"/>
      <c r="L1890" s="37"/>
    </row>
    <row r="1891" spans="1:12" ht="16.5" customHeight="1" x14ac:dyDescent="0.2">
      <c r="A1891" s="37"/>
      <c r="L1891" s="37"/>
    </row>
    <row r="1892" spans="1:12" ht="16.5" customHeight="1" x14ac:dyDescent="0.2">
      <c r="A1892" s="37"/>
      <c r="L1892" s="37"/>
    </row>
    <row r="1893" spans="1:12" ht="16.5" customHeight="1" x14ac:dyDescent="0.2">
      <c r="A1893" s="37"/>
      <c r="L1893" s="37"/>
    </row>
    <row r="1894" spans="1:12" ht="16.5" customHeight="1" x14ac:dyDescent="0.2">
      <c r="A1894" s="37"/>
      <c r="L1894" s="37"/>
    </row>
    <row r="1895" spans="1:12" ht="16.5" customHeight="1" x14ac:dyDescent="0.2">
      <c r="A1895" s="37"/>
      <c r="L1895" s="37"/>
    </row>
    <row r="1896" spans="1:12" ht="16.5" customHeight="1" x14ac:dyDescent="0.2">
      <c r="A1896" s="37"/>
      <c r="L1896" s="37"/>
    </row>
    <row r="1897" spans="1:12" ht="16.5" customHeight="1" x14ac:dyDescent="0.2">
      <c r="A1897" s="37"/>
      <c r="L1897" s="37"/>
    </row>
    <row r="1898" spans="1:12" ht="16.5" customHeight="1" x14ac:dyDescent="0.2">
      <c r="A1898" s="37"/>
      <c r="L1898" s="37"/>
    </row>
    <row r="1899" spans="1:12" ht="16.5" customHeight="1" x14ac:dyDescent="0.2">
      <c r="A1899" s="37"/>
      <c r="L1899" s="37"/>
    </row>
    <row r="1900" spans="1:12" ht="16.5" customHeight="1" x14ac:dyDescent="0.2">
      <c r="A1900" s="37"/>
      <c r="L1900" s="37"/>
    </row>
    <row r="1901" spans="1:12" ht="16.5" customHeight="1" x14ac:dyDescent="0.2">
      <c r="A1901" s="37"/>
      <c r="L1901" s="37"/>
    </row>
    <row r="1902" spans="1:12" ht="16.5" customHeight="1" x14ac:dyDescent="0.2">
      <c r="A1902" s="37"/>
      <c r="L1902" s="37"/>
    </row>
    <row r="1903" spans="1:12" ht="16.5" customHeight="1" x14ac:dyDescent="0.2">
      <c r="A1903" s="37"/>
      <c r="L1903" s="37"/>
    </row>
    <row r="1904" spans="1:12" ht="16.5" customHeight="1" x14ac:dyDescent="0.2">
      <c r="A1904" s="37"/>
      <c r="L1904" s="37"/>
    </row>
    <row r="1905" spans="1:12" ht="16.5" customHeight="1" x14ac:dyDescent="0.2">
      <c r="A1905" s="37"/>
      <c r="L1905" s="37"/>
    </row>
    <row r="1906" spans="1:12" ht="16.5" customHeight="1" x14ac:dyDescent="0.2">
      <c r="A1906" s="37"/>
      <c r="L1906" s="37"/>
    </row>
    <row r="1907" spans="1:12" ht="16.5" customHeight="1" x14ac:dyDescent="0.2">
      <c r="A1907" s="37"/>
      <c r="L1907" s="37"/>
    </row>
    <row r="1908" spans="1:12" ht="16.5" customHeight="1" x14ac:dyDescent="0.2">
      <c r="A1908" s="37"/>
      <c r="L1908" s="37"/>
    </row>
    <row r="1909" spans="1:12" ht="16.5" customHeight="1" x14ac:dyDescent="0.2">
      <c r="A1909" s="37"/>
      <c r="L1909" s="37"/>
    </row>
    <row r="1910" spans="1:12" ht="16.5" customHeight="1" x14ac:dyDescent="0.2">
      <c r="A1910" s="37"/>
      <c r="L1910" s="37"/>
    </row>
    <row r="1911" spans="1:12" ht="16.5" customHeight="1" x14ac:dyDescent="0.2">
      <c r="A1911" s="37"/>
      <c r="L1911" s="37"/>
    </row>
    <row r="1912" spans="1:12" ht="16.5" customHeight="1" x14ac:dyDescent="0.2">
      <c r="A1912" s="37"/>
      <c r="L1912" s="37"/>
    </row>
    <row r="1913" spans="1:12" ht="16.5" customHeight="1" x14ac:dyDescent="0.2">
      <c r="A1913" s="37"/>
      <c r="L1913" s="37"/>
    </row>
    <row r="1914" spans="1:12" ht="16.5" customHeight="1" x14ac:dyDescent="0.2">
      <c r="A1914" s="37"/>
      <c r="L1914" s="37"/>
    </row>
    <row r="1915" spans="1:12" ht="16.5" customHeight="1" x14ac:dyDescent="0.2">
      <c r="A1915" s="37"/>
      <c r="L1915" s="37"/>
    </row>
    <row r="1916" spans="1:12" ht="16.5" customHeight="1" x14ac:dyDescent="0.2">
      <c r="A1916" s="37"/>
      <c r="L1916" s="37"/>
    </row>
    <row r="1917" spans="1:12" ht="16.5" customHeight="1" x14ac:dyDescent="0.2">
      <c r="A1917" s="37"/>
      <c r="L1917" s="37"/>
    </row>
    <row r="1918" spans="1:12" ht="16.5" customHeight="1" x14ac:dyDescent="0.2">
      <c r="A1918" s="37"/>
      <c r="L1918" s="37"/>
    </row>
    <row r="1919" spans="1:12" ht="16.5" customHeight="1" x14ac:dyDescent="0.2">
      <c r="A1919" s="37"/>
      <c r="L1919" s="37"/>
    </row>
    <row r="1920" spans="1:12" ht="16.5" customHeight="1" x14ac:dyDescent="0.2">
      <c r="A1920" s="37"/>
      <c r="L1920" s="37"/>
    </row>
    <row r="1921" spans="1:12" ht="16.5" customHeight="1" x14ac:dyDescent="0.2">
      <c r="A1921" s="37"/>
      <c r="L1921" s="37"/>
    </row>
    <row r="1922" spans="1:12" ht="16.5" customHeight="1" x14ac:dyDescent="0.2">
      <c r="A1922" s="37"/>
      <c r="L1922" s="37"/>
    </row>
    <row r="1923" spans="1:12" ht="16.5" customHeight="1" x14ac:dyDescent="0.2">
      <c r="A1923" s="37"/>
      <c r="L1923" s="37"/>
    </row>
    <row r="1924" spans="1:12" ht="16.5" customHeight="1" x14ac:dyDescent="0.2">
      <c r="A1924" s="37"/>
      <c r="L1924" s="37"/>
    </row>
    <row r="1925" spans="1:12" ht="16.5" customHeight="1" x14ac:dyDescent="0.2">
      <c r="A1925" s="37"/>
      <c r="L1925" s="37"/>
    </row>
    <row r="1926" spans="1:12" ht="16.5" customHeight="1" x14ac:dyDescent="0.2">
      <c r="A1926" s="37"/>
      <c r="L1926" s="37"/>
    </row>
    <row r="1927" spans="1:12" ht="16.5" customHeight="1" x14ac:dyDescent="0.2">
      <c r="A1927" s="37"/>
      <c r="L1927" s="37"/>
    </row>
    <row r="1928" spans="1:12" ht="16.5" customHeight="1" x14ac:dyDescent="0.2">
      <c r="A1928" s="37"/>
      <c r="L1928" s="37"/>
    </row>
    <row r="1929" spans="1:12" ht="16.5" customHeight="1" x14ac:dyDescent="0.2">
      <c r="A1929" s="37"/>
      <c r="L1929" s="37"/>
    </row>
    <row r="1930" spans="1:12" ht="16.5" customHeight="1" x14ac:dyDescent="0.2">
      <c r="A1930" s="37"/>
      <c r="L1930" s="37"/>
    </row>
    <row r="1931" spans="1:12" ht="16.5" customHeight="1" x14ac:dyDescent="0.2">
      <c r="A1931" s="37"/>
      <c r="L1931" s="37"/>
    </row>
    <row r="1932" spans="1:12" ht="16.5" customHeight="1" x14ac:dyDescent="0.2">
      <c r="A1932" s="37"/>
      <c r="L1932" s="37"/>
    </row>
    <row r="1933" spans="1:12" ht="16.5" customHeight="1" x14ac:dyDescent="0.2">
      <c r="A1933" s="37"/>
      <c r="L1933" s="37"/>
    </row>
    <row r="1934" spans="1:12" ht="16.5" customHeight="1" x14ac:dyDescent="0.2">
      <c r="A1934" s="37"/>
      <c r="L1934" s="37"/>
    </row>
    <row r="1935" spans="1:12" ht="16.5" customHeight="1" x14ac:dyDescent="0.2">
      <c r="A1935" s="37"/>
      <c r="L1935" s="37"/>
    </row>
    <row r="1936" spans="1:12" ht="16.5" customHeight="1" x14ac:dyDescent="0.2">
      <c r="A1936" s="37"/>
      <c r="L1936" s="37"/>
    </row>
    <row r="1937" spans="1:12" ht="16.5" customHeight="1" x14ac:dyDescent="0.2">
      <c r="A1937" s="37"/>
      <c r="L1937" s="37"/>
    </row>
    <row r="1938" spans="1:12" ht="16.5" customHeight="1" x14ac:dyDescent="0.2">
      <c r="A1938" s="37"/>
      <c r="L1938" s="37"/>
    </row>
    <row r="1939" spans="1:12" ht="16.5" customHeight="1" x14ac:dyDescent="0.2">
      <c r="A1939" s="37"/>
      <c r="L1939" s="37"/>
    </row>
    <row r="1940" spans="1:12" ht="16.5" customHeight="1" x14ac:dyDescent="0.2">
      <c r="A1940" s="37"/>
      <c r="L1940" s="37"/>
    </row>
    <row r="1941" spans="1:12" ht="16.5" customHeight="1" x14ac:dyDescent="0.2">
      <c r="A1941" s="37"/>
      <c r="L1941" s="37"/>
    </row>
    <row r="1942" spans="1:12" ht="16.5" customHeight="1" x14ac:dyDescent="0.2">
      <c r="A1942" s="37"/>
      <c r="L1942" s="37"/>
    </row>
    <row r="1943" spans="1:12" ht="16.5" customHeight="1" x14ac:dyDescent="0.2">
      <c r="A1943" s="37"/>
      <c r="L1943" s="37"/>
    </row>
    <row r="1944" spans="1:12" ht="16.5" customHeight="1" x14ac:dyDescent="0.2">
      <c r="A1944" s="37"/>
      <c r="L1944" s="37"/>
    </row>
    <row r="1945" spans="1:12" ht="16.5" customHeight="1" x14ac:dyDescent="0.2">
      <c r="A1945" s="37"/>
      <c r="L1945" s="37"/>
    </row>
    <row r="1946" spans="1:12" ht="16.5" customHeight="1" x14ac:dyDescent="0.2">
      <c r="A1946" s="37"/>
      <c r="L1946" s="37"/>
    </row>
    <row r="1947" spans="1:12" ht="16.5" customHeight="1" x14ac:dyDescent="0.2">
      <c r="A1947" s="37"/>
      <c r="L1947" s="37"/>
    </row>
    <row r="1948" spans="1:12" ht="16.5" customHeight="1" x14ac:dyDescent="0.2">
      <c r="A1948" s="37"/>
      <c r="L1948" s="37"/>
    </row>
    <row r="1949" spans="1:12" ht="16.5" customHeight="1" x14ac:dyDescent="0.2">
      <c r="A1949" s="37"/>
      <c r="L1949" s="37"/>
    </row>
    <row r="1950" spans="1:12" ht="16.5" customHeight="1" x14ac:dyDescent="0.2">
      <c r="A1950" s="37"/>
      <c r="L1950" s="37"/>
    </row>
    <row r="1951" spans="1:12" ht="16.5" customHeight="1" x14ac:dyDescent="0.2">
      <c r="A1951" s="37"/>
      <c r="L1951" s="37"/>
    </row>
    <row r="1952" spans="1:12" ht="16.5" customHeight="1" x14ac:dyDescent="0.2">
      <c r="A1952" s="37"/>
      <c r="L1952" s="37"/>
    </row>
    <row r="1953" spans="1:12" ht="16.5" customHeight="1" x14ac:dyDescent="0.2">
      <c r="A1953" s="37"/>
      <c r="L1953" s="37"/>
    </row>
    <row r="1954" spans="1:12" ht="16.5" customHeight="1" x14ac:dyDescent="0.2">
      <c r="A1954" s="37"/>
      <c r="L1954" s="37"/>
    </row>
    <row r="1955" spans="1:12" ht="16.5" customHeight="1" x14ac:dyDescent="0.2">
      <c r="A1955" s="37"/>
      <c r="L1955" s="37"/>
    </row>
    <row r="1956" spans="1:12" ht="16.5" customHeight="1" x14ac:dyDescent="0.2">
      <c r="A1956" s="37"/>
      <c r="L1956" s="37"/>
    </row>
    <row r="1957" spans="1:12" ht="16.5" customHeight="1" x14ac:dyDescent="0.2">
      <c r="A1957" s="37"/>
      <c r="L1957" s="37"/>
    </row>
    <row r="1958" spans="1:12" ht="16.5" customHeight="1" x14ac:dyDescent="0.2">
      <c r="A1958" s="37"/>
      <c r="L1958" s="37"/>
    </row>
    <row r="1959" spans="1:12" ht="16.5" customHeight="1" x14ac:dyDescent="0.2">
      <c r="A1959" s="37"/>
      <c r="L1959" s="37"/>
    </row>
    <row r="1960" spans="1:12" ht="16.5" customHeight="1" x14ac:dyDescent="0.2">
      <c r="A1960" s="37"/>
      <c r="L1960" s="37"/>
    </row>
    <row r="1961" spans="1:12" ht="16.5" customHeight="1" x14ac:dyDescent="0.2">
      <c r="A1961" s="37"/>
      <c r="L1961" s="37"/>
    </row>
    <row r="1962" spans="1:12" ht="16.5" customHeight="1" x14ac:dyDescent="0.2">
      <c r="A1962" s="37"/>
      <c r="L1962" s="37"/>
    </row>
    <row r="1963" spans="1:12" ht="16.5" customHeight="1" x14ac:dyDescent="0.2">
      <c r="A1963" s="37"/>
      <c r="L1963" s="37"/>
    </row>
    <row r="1964" spans="1:12" ht="16.5" customHeight="1" x14ac:dyDescent="0.2">
      <c r="A1964" s="37"/>
      <c r="L1964" s="37"/>
    </row>
    <row r="1965" spans="1:12" ht="16.5" customHeight="1" x14ac:dyDescent="0.2">
      <c r="A1965" s="37"/>
      <c r="L1965" s="37"/>
    </row>
    <row r="1966" spans="1:12" ht="16.5" customHeight="1" x14ac:dyDescent="0.2">
      <c r="A1966" s="37"/>
      <c r="L1966" s="37"/>
    </row>
    <row r="1967" spans="1:12" ht="16.5" customHeight="1" x14ac:dyDescent="0.2">
      <c r="A1967" s="37"/>
      <c r="L1967" s="37"/>
    </row>
    <row r="1968" spans="1:12" ht="16.5" customHeight="1" x14ac:dyDescent="0.2">
      <c r="A1968" s="37"/>
      <c r="L1968" s="37"/>
    </row>
    <row r="1969" spans="1:12" ht="16.5" customHeight="1" x14ac:dyDescent="0.2">
      <c r="A1969" s="37"/>
      <c r="L1969" s="37"/>
    </row>
    <row r="1970" spans="1:12" ht="16.5" customHeight="1" x14ac:dyDescent="0.2">
      <c r="A1970" s="37"/>
      <c r="L1970" s="37"/>
    </row>
    <row r="1971" spans="1:12" ht="16.5" customHeight="1" x14ac:dyDescent="0.2">
      <c r="A1971" s="37"/>
      <c r="L1971" s="37"/>
    </row>
    <row r="1972" spans="1:12" ht="16.5" customHeight="1" x14ac:dyDescent="0.2">
      <c r="A1972" s="37"/>
      <c r="L1972" s="37"/>
    </row>
    <row r="1973" spans="1:12" ht="16.5" customHeight="1" x14ac:dyDescent="0.2">
      <c r="A1973" s="37"/>
      <c r="L1973" s="37"/>
    </row>
    <row r="1974" spans="1:12" ht="16.5" customHeight="1" x14ac:dyDescent="0.2">
      <c r="A1974" s="37"/>
      <c r="L1974" s="37"/>
    </row>
    <row r="1975" spans="1:12" ht="16.5" customHeight="1" x14ac:dyDescent="0.2">
      <c r="A1975" s="37"/>
      <c r="L1975" s="37"/>
    </row>
    <row r="1976" spans="1:12" ht="16.5" customHeight="1" x14ac:dyDescent="0.2">
      <c r="A1976" s="37"/>
      <c r="L1976" s="37"/>
    </row>
    <row r="1977" spans="1:12" ht="16.5" customHeight="1" x14ac:dyDescent="0.2">
      <c r="A1977" s="37"/>
      <c r="L1977" s="37"/>
    </row>
    <row r="1978" spans="1:12" ht="16.5" customHeight="1" x14ac:dyDescent="0.2">
      <c r="A1978" s="37"/>
      <c r="L1978" s="37"/>
    </row>
    <row r="1979" spans="1:12" ht="16.5" customHeight="1" x14ac:dyDescent="0.2">
      <c r="A1979" s="37"/>
      <c r="L1979" s="37"/>
    </row>
    <row r="1980" spans="1:12" ht="16.5" customHeight="1" x14ac:dyDescent="0.2">
      <c r="A1980" s="37"/>
      <c r="L1980" s="37"/>
    </row>
    <row r="1981" spans="1:12" ht="16.5" customHeight="1" x14ac:dyDescent="0.2">
      <c r="A1981" s="37"/>
      <c r="L1981" s="37"/>
    </row>
    <row r="1982" spans="1:12" ht="16.5" customHeight="1" x14ac:dyDescent="0.2">
      <c r="A1982" s="37"/>
      <c r="L1982" s="37"/>
    </row>
    <row r="1983" spans="1:12" ht="16.5" customHeight="1" x14ac:dyDescent="0.2">
      <c r="A1983" s="37"/>
      <c r="L1983" s="37"/>
    </row>
    <row r="1984" spans="1:12" ht="16.5" customHeight="1" x14ac:dyDescent="0.2">
      <c r="A1984" s="37"/>
      <c r="L1984" s="37"/>
    </row>
    <row r="1985" spans="1:12" ht="16.5" customHeight="1" x14ac:dyDescent="0.2">
      <c r="A1985" s="37"/>
      <c r="L1985" s="37"/>
    </row>
    <row r="1986" spans="1:12" ht="16.5" customHeight="1" x14ac:dyDescent="0.2">
      <c r="A1986" s="37"/>
      <c r="L1986" s="37"/>
    </row>
    <row r="1987" spans="1:12" ht="16.5" customHeight="1" x14ac:dyDescent="0.2">
      <c r="A1987" s="37"/>
      <c r="L1987" s="37"/>
    </row>
    <row r="1988" spans="1:12" ht="16.5" customHeight="1" x14ac:dyDescent="0.2">
      <c r="A1988" s="37"/>
      <c r="L1988" s="37"/>
    </row>
    <row r="1989" spans="1:12" ht="16.5" customHeight="1" x14ac:dyDescent="0.2">
      <c r="A1989" s="37"/>
      <c r="L1989" s="37"/>
    </row>
    <row r="1990" spans="1:12" ht="16.5" customHeight="1" x14ac:dyDescent="0.2">
      <c r="A1990" s="37"/>
      <c r="L1990" s="37"/>
    </row>
    <row r="1991" spans="1:12" ht="16.5" customHeight="1" x14ac:dyDescent="0.2">
      <c r="A1991" s="37"/>
      <c r="L1991" s="37"/>
    </row>
    <row r="1992" spans="1:12" ht="16.5" customHeight="1" x14ac:dyDescent="0.2">
      <c r="A1992" s="37"/>
      <c r="L1992" s="37"/>
    </row>
    <row r="1993" spans="1:12" ht="16.5" customHeight="1" x14ac:dyDescent="0.2">
      <c r="A1993" s="37"/>
      <c r="L1993" s="37"/>
    </row>
    <row r="1994" spans="1:12" ht="16.5" customHeight="1" x14ac:dyDescent="0.2">
      <c r="A1994" s="37"/>
      <c r="L1994" s="37"/>
    </row>
    <row r="1995" spans="1:12" ht="16.5" customHeight="1" x14ac:dyDescent="0.2">
      <c r="A1995" s="37"/>
      <c r="L1995" s="37"/>
    </row>
    <row r="1996" spans="1:12" ht="16.5" customHeight="1" x14ac:dyDescent="0.2">
      <c r="A1996" s="37"/>
      <c r="L1996" s="37"/>
    </row>
    <row r="1997" spans="1:12" ht="16.5" customHeight="1" x14ac:dyDescent="0.2">
      <c r="A1997" s="37"/>
      <c r="L1997" s="37"/>
    </row>
    <row r="1998" spans="1:12" ht="16.5" customHeight="1" x14ac:dyDescent="0.2">
      <c r="A1998" s="37"/>
      <c r="L1998" s="37"/>
    </row>
    <row r="1999" spans="1:12" ht="16.5" customHeight="1" x14ac:dyDescent="0.2">
      <c r="A1999" s="37"/>
      <c r="L1999" s="37"/>
    </row>
    <row r="2000" spans="1:12" ht="16.5" customHeight="1" x14ac:dyDescent="0.2">
      <c r="A2000" s="37"/>
      <c r="L2000" s="37"/>
    </row>
    <row r="2001" spans="1:12" ht="16.5" customHeight="1" x14ac:dyDescent="0.2">
      <c r="A2001" s="37"/>
      <c r="L2001" s="37"/>
    </row>
    <row r="2002" spans="1:12" ht="16.5" customHeight="1" x14ac:dyDescent="0.2">
      <c r="A2002" s="37"/>
      <c r="L2002" s="37"/>
    </row>
    <row r="2003" spans="1:12" ht="16.5" customHeight="1" x14ac:dyDescent="0.2">
      <c r="A2003" s="37"/>
      <c r="L2003" s="37"/>
    </row>
    <row r="2004" spans="1:12" ht="16.5" customHeight="1" x14ac:dyDescent="0.2">
      <c r="A2004" s="37"/>
      <c r="L2004" s="37"/>
    </row>
    <row r="2005" spans="1:12" ht="16.5" customHeight="1" x14ac:dyDescent="0.2">
      <c r="A2005" s="37"/>
      <c r="L2005" s="37"/>
    </row>
    <row r="2006" spans="1:12" ht="16.5" customHeight="1" x14ac:dyDescent="0.2">
      <c r="A2006" s="37"/>
      <c r="L2006" s="37"/>
    </row>
    <row r="2007" spans="1:12" ht="16.5" customHeight="1" x14ac:dyDescent="0.2">
      <c r="A2007" s="37"/>
      <c r="L2007" s="37"/>
    </row>
    <row r="2008" spans="1:12" ht="16.5" customHeight="1" x14ac:dyDescent="0.2">
      <c r="A2008" s="37"/>
      <c r="L2008" s="37"/>
    </row>
    <row r="2009" spans="1:12" ht="16.5" customHeight="1" x14ac:dyDescent="0.2">
      <c r="A2009" s="37"/>
      <c r="L2009" s="37"/>
    </row>
    <row r="2010" spans="1:12" ht="16.5" customHeight="1" x14ac:dyDescent="0.2">
      <c r="A2010" s="37"/>
      <c r="L2010" s="37"/>
    </row>
    <row r="2011" spans="1:12" ht="16.5" customHeight="1" x14ac:dyDescent="0.2">
      <c r="A2011" s="37"/>
      <c r="L2011" s="37"/>
    </row>
    <row r="2012" spans="1:12" ht="16.5" customHeight="1" x14ac:dyDescent="0.2">
      <c r="A2012" s="37"/>
      <c r="L2012" s="37"/>
    </row>
    <row r="2013" spans="1:12" ht="16.5" customHeight="1" x14ac:dyDescent="0.2">
      <c r="A2013" s="37"/>
      <c r="L2013" s="37"/>
    </row>
    <row r="2014" spans="1:12" ht="16.5" customHeight="1" x14ac:dyDescent="0.2">
      <c r="A2014" s="37"/>
      <c r="L2014" s="37"/>
    </row>
    <row r="2015" spans="1:12" ht="16.5" customHeight="1" x14ac:dyDescent="0.2">
      <c r="A2015" s="37"/>
      <c r="L2015" s="37"/>
    </row>
    <row r="2016" spans="1:12" ht="16.5" customHeight="1" x14ac:dyDescent="0.2">
      <c r="A2016" s="37"/>
      <c r="L2016" s="37"/>
    </row>
    <row r="2017" spans="1:12" ht="16.5" customHeight="1" x14ac:dyDescent="0.2">
      <c r="A2017" s="37"/>
      <c r="L2017" s="37"/>
    </row>
    <row r="2018" spans="1:12" ht="16.5" customHeight="1" x14ac:dyDescent="0.2">
      <c r="A2018" s="37"/>
      <c r="L2018" s="37"/>
    </row>
    <row r="2019" spans="1:12" ht="16.5" customHeight="1" x14ac:dyDescent="0.2">
      <c r="A2019" s="37"/>
      <c r="L2019" s="37"/>
    </row>
    <row r="2020" spans="1:12" ht="16.5" customHeight="1" x14ac:dyDescent="0.2">
      <c r="A2020" s="37"/>
      <c r="L2020" s="37"/>
    </row>
    <row r="2021" spans="1:12" ht="16.5" customHeight="1" x14ac:dyDescent="0.2">
      <c r="A2021" s="37"/>
      <c r="L2021" s="37"/>
    </row>
    <row r="2022" spans="1:12" ht="16.5" customHeight="1" x14ac:dyDescent="0.2">
      <c r="A2022" s="37"/>
      <c r="L2022" s="37"/>
    </row>
    <row r="2023" spans="1:12" ht="16.5" customHeight="1" x14ac:dyDescent="0.2">
      <c r="A2023" s="37"/>
      <c r="L2023" s="37"/>
    </row>
    <row r="2024" spans="1:12" ht="16.5" customHeight="1" x14ac:dyDescent="0.2">
      <c r="A2024" s="37"/>
      <c r="L2024" s="37"/>
    </row>
    <row r="2025" spans="1:12" ht="16.5" customHeight="1" x14ac:dyDescent="0.2">
      <c r="A2025" s="37"/>
      <c r="L2025" s="37"/>
    </row>
    <row r="2026" spans="1:12" ht="16.5" customHeight="1" x14ac:dyDescent="0.2">
      <c r="A2026" s="37"/>
      <c r="L2026" s="37"/>
    </row>
    <row r="2027" spans="1:12" ht="16.5" customHeight="1" x14ac:dyDescent="0.2">
      <c r="A2027" s="37"/>
      <c r="L2027" s="37"/>
    </row>
    <row r="2028" spans="1:12" ht="16.5" customHeight="1" x14ac:dyDescent="0.2">
      <c r="A2028" s="37"/>
      <c r="L2028" s="37"/>
    </row>
    <row r="2029" spans="1:12" ht="16.5" customHeight="1" x14ac:dyDescent="0.2">
      <c r="A2029" s="37"/>
      <c r="L2029" s="37"/>
    </row>
    <row r="2030" spans="1:12" ht="16.5" customHeight="1" x14ac:dyDescent="0.2">
      <c r="A2030" s="37"/>
      <c r="L2030" s="37"/>
    </row>
    <row r="2031" spans="1:12" ht="16.5" customHeight="1" x14ac:dyDescent="0.2">
      <c r="A2031" s="37"/>
      <c r="L2031" s="37"/>
    </row>
    <row r="2032" spans="1:12" ht="16.5" customHeight="1" x14ac:dyDescent="0.2">
      <c r="A2032" s="37"/>
      <c r="L2032" s="37"/>
    </row>
    <row r="2033" spans="1:12" ht="16.5" customHeight="1" x14ac:dyDescent="0.2">
      <c r="A2033" s="37"/>
      <c r="L2033" s="37"/>
    </row>
    <row r="2034" spans="1:12" ht="16.5" customHeight="1" x14ac:dyDescent="0.2">
      <c r="A2034" s="37"/>
      <c r="L2034" s="37"/>
    </row>
    <row r="2035" spans="1:12" ht="16.5" customHeight="1" x14ac:dyDescent="0.2">
      <c r="A2035" s="37"/>
      <c r="L2035" s="37"/>
    </row>
    <row r="2036" spans="1:12" ht="16.5" customHeight="1" x14ac:dyDescent="0.2">
      <c r="A2036" s="37"/>
      <c r="L2036" s="37"/>
    </row>
    <row r="2037" spans="1:12" ht="16.5" customHeight="1" x14ac:dyDescent="0.2">
      <c r="A2037" s="37"/>
      <c r="L2037" s="37"/>
    </row>
    <row r="2038" spans="1:12" ht="16.5" customHeight="1" x14ac:dyDescent="0.2">
      <c r="A2038" s="37"/>
      <c r="L2038" s="37"/>
    </row>
    <row r="2039" spans="1:12" ht="16.5" customHeight="1" x14ac:dyDescent="0.2">
      <c r="A2039" s="37"/>
      <c r="L2039" s="37"/>
    </row>
    <row r="2040" spans="1:12" ht="16.5" customHeight="1" x14ac:dyDescent="0.2">
      <c r="A2040" s="37"/>
      <c r="L2040" s="37"/>
    </row>
    <row r="2041" spans="1:12" ht="16.5" customHeight="1" x14ac:dyDescent="0.2">
      <c r="A2041" s="37"/>
      <c r="L2041" s="37"/>
    </row>
    <row r="2042" spans="1:12" ht="16.5" customHeight="1" x14ac:dyDescent="0.2">
      <c r="A2042" s="37"/>
      <c r="L2042" s="37"/>
    </row>
    <row r="2043" spans="1:12" ht="16.5" customHeight="1" x14ac:dyDescent="0.2">
      <c r="A2043" s="37"/>
      <c r="L2043" s="37"/>
    </row>
    <row r="2044" spans="1:12" ht="16.5" customHeight="1" x14ac:dyDescent="0.2">
      <c r="A2044" s="37"/>
      <c r="L2044" s="37"/>
    </row>
    <row r="2045" spans="1:12" ht="16.5" customHeight="1" x14ac:dyDescent="0.2">
      <c r="A2045" s="37"/>
      <c r="L2045" s="37"/>
    </row>
    <row r="2046" spans="1:12" ht="16.5" customHeight="1" x14ac:dyDescent="0.2">
      <c r="A2046" s="37"/>
      <c r="L2046" s="37"/>
    </row>
    <row r="2047" spans="1:12" ht="16.5" customHeight="1" x14ac:dyDescent="0.2">
      <c r="A2047" s="37"/>
      <c r="L2047" s="37"/>
    </row>
    <row r="2048" spans="1:12" ht="16.5" customHeight="1" x14ac:dyDescent="0.2">
      <c r="A2048" s="37"/>
      <c r="L2048" s="37"/>
    </row>
    <row r="2049" spans="1:12" ht="16.5" customHeight="1" x14ac:dyDescent="0.2">
      <c r="A2049" s="37"/>
      <c r="L2049" s="37"/>
    </row>
    <row r="2050" spans="1:12" ht="16.5" customHeight="1" x14ac:dyDescent="0.2">
      <c r="A2050" s="37"/>
      <c r="L2050" s="37"/>
    </row>
    <row r="2051" spans="1:12" ht="16.5" customHeight="1" x14ac:dyDescent="0.2">
      <c r="A2051" s="37"/>
      <c r="L2051" s="37"/>
    </row>
    <row r="2052" spans="1:12" ht="16.5" customHeight="1" x14ac:dyDescent="0.2">
      <c r="A2052" s="37"/>
      <c r="L2052" s="37"/>
    </row>
    <row r="2053" spans="1:12" ht="16.5" customHeight="1" x14ac:dyDescent="0.2">
      <c r="A2053" s="37"/>
      <c r="L2053" s="37"/>
    </row>
    <row r="2054" spans="1:12" ht="16.5" customHeight="1" x14ac:dyDescent="0.2">
      <c r="A2054" s="37"/>
      <c r="L2054" s="37"/>
    </row>
    <row r="2055" spans="1:12" ht="16.5" customHeight="1" x14ac:dyDescent="0.2">
      <c r="A2055" s="37"/>
      <c r="L2055" s="37"/>
    </row>
    <row r="2056" spans="1:12" ht="16.5" customHeight="1" x14ac:dyDescent="0.2">
      <c r="A2056" s="37"/>
      <c r="L2056" s="37"/>
    </row>
    <row r="2057" spans="1:12" ht="16.5" customHeight="1" x14ac:dyDescent="0.2">
      <c r="A2057" s="37"/>
      <c r="L2057" s="37"/>
    </row>
    <row r="2058" spans="1:12" ht="16.5" customHeight="1" x14ac:dyDescent="0.2">
      <c r="A2058" s="37"/>
      <c r="L2058" s="37"/>
    </row>
    <row r="2059" spans="1:12" ht="16.5" customHeight="1" x14ac:dyDescent="0.2">
      <c r="A2059" s="37"/>
      <c r="L2059" s="37"/>
    </row>
    <row r="2060" spans="1:12" ht="16.5" customHeight="1" x14ac:dyDescent="0.2">
      <c r="A2060" s="37"/>
      <c r="L2060" s="37"/>
    </row>
    <row r="2061" spans="1:12" ht="16.5" customHeight="1" x14ac:dyDescent="0.2">
      <c r="A2061" s="37"/>
      <c r="L2061" s="37"/>
    </row>
    <row r="2062" spans="1:12" ht="16.5" customHeight="1" x14ac:dyDescent="0.2">
      <c r="A2062" s="37"/>
      <c r="L2062" s="37"/>
    </row>
    <row r="2063" spans="1:12" ht="16.5" customHeight="1" x14ac:dyDescent="0.2">
      <c r="A2063" s="37"/>
      <c r="L2063" s="37"/>
    </row>
    <row r="2064" spans="1:12" ht="16.5" customHeight="1" x14ac:dyDescent="0.2">
      <c r="A2064" s="37"/>
      <c r="L2064" s="37"/>
    </row>
    <row r="2065" spans="1:12" ht="16.5" customHeight="1" x14ac:dyDescent="0.2">
      <c r="A2065" s="37"/>
      <c r="L2065" s="37"/>
    </row>
    <row r="2066" spans="1:12" ht="16.5" customHeight="1" x14ac:dyDescent="0.2">
      <c r="A2066" s="37"/>
      <c r="L2066" s="37"/>
    </row>
    <row r="2067" spans="1:12" ht="16.5" customHeight="1" x14ac:dyDescent="0.2">
      <c r="A2067" s="37"/>
      <c r="L2067" s="37"/>
    </row>
    <row r="2068" spans="1:12" ht="16.5" customHeight="1" x14ac:dyDescent="0.2">
      <c r="A2068" s="37"/>
      <c r="L2068" s="37"/>
    </row>
    <row r="2069" spans="1:12" ht="16.5" customHeight="1" x14ac:dyDescent="0.2">
      <c r="A2069" s="37"/>
      <c r="L2069" s="37"/>
    </row>
    <row r="2070" spans="1:12" ht="16.5" customHeight="1" x14ac:dyDescent="0.2">
      <c r="A2070" s="37"/>
      <c r="L2070" s="37"/>
    </row>
    <row r="2071" spans="1:12" ht="16.5" customHeight="1" x14ac:dyDescent="0.2">
      <c r="A2071" s="37"/>
      <c r="L2071" s="37"/>
    </row>
    <row r="2072" spans="1:12" ht="16.5" customHeight="1" x14ac:dyDescent="0.2">
      <c r="A2072" s="37"/>
      <c r="L2072" s="37"/>
    </row>
    <row r="2073" spans="1:12" ht="16.5" customHeight="1" x14ac:dyDescent="0.2">
      <c r="A2073" s="37"/>
      <c r="L2073" s="37"/>
    </row>
    <row r="2074" spans="1:12" ht="16.5" customHeight="1" x14ac:dyDescent="0.2">
      <c r="A2074" s="37"/>
      <c r="L2074" s="37"/>
    </row>
    <row r="2075" spans="1:12" ht="16.5" customHeight="1" x14ac:dyDescent="0.2">
      <c r="A2075" s="37"/>
      <c r="L2075" s="37"/>
    </row>
    <row r="2076" spans="1:12" ht="16.5" customHeight="1" x14ac:dyDescent="0.2">
      <c r="A2076" s="37"/>
      <c r="L2076" s="37"/>
    </row>
    <row r="2077" spans="1:12" ht="16.5" customHeight="1" x14ac:dyDescent="0.2">
      <c r="A2077" s="37"/>
      <c r="L2077" s="37"/>
    </row>
    <row r="2078" spans="1:12" ht="16.5" customHeight="1" x14ac:dyDescent="0.2">
      <c r="A2078" s="37"/>
      <c r="L2078" s="37"/>
    </row>
    <row r="2079" spans="1:12" ht="16.5" customHeight="1" x14ac:dyDescent="0.2">
      <c r="A2079" s="37"/>
      <c r="L2079" s="37"/>
    </row>
    <row r="2080" spans="1:12" ht="16.5" customHeight="1" x14ac:dyDescent="0.2">
      <c r="A2080" s="37"/>
      <c r="L2080" s="37"/>
    </row>
    <row r="2081" spans="1:12" ht="16.5" customHeight="1" x14ac:dyDescent="0.2">
      <c r="A2081" s="37"/>
      <c r="L2081" s="37"/>
    </row>
    <row r="2082" spans="1:12" ht="16.5" customHeight="1" x14ac:dyDescent="0.2">
      <c r="A2082" s="37"/>
      <c r="L2082" s="37"/>
    </row>
    <row r="2083" spans="1:12" ht="16.5" customHeight="1" x14ac:dyDescent="0.2">
      <c r="A2083" s="37"/>
      <c r="L2083" s="37"/>
    </row>
    <row r="2084" spans="1:12" ht="16.5" customHeight="1" x14ac:dyDescent="0.2">
      <c r="A2084" s="37"/>
      <c r="L2084" s="37"/>
    </row>
    <row r="2085" spans="1:12" ht="16.5" customHeight="1" x14ac:dyDescent="0.2">
      <c r="A2085" s="37"/>
      <c r="L2085" s="37"/>
    </row>
    <row r="2086" spans="1:12" ht="16.5" customHeight="1" x14ac:dyDescent="0.2">
      <c r="A2086" s="37"/>
      <c r="L2086" s="37"/>
    </row>
    <row r="2087" spans="1:12" ht="16.5" customHeight="1" x14ac:dyDescent="0.2">
      <c r="A2087" s="37"/>
      <c r="L2087" s="37"/>
    </row>
    <row r="2088" spans="1:12" ht="16.5" customHeight="1" x14ac:dyDescent="0.2">
      <c r="A2088" s="37"/>
      <c r="L2088" s="37"/>
    </row>
    <row r="2089" spans="1:12" ht="16.5" customHeight="1" x14ac:dyDescent="0.2">
      <c r="A2089" s="37"/>
      <c r="L2089" s="37"/>
    </row>
    <row r="2090" spans="1:12" ht="16.5" customHeight="1" x14ac:dyDescent="0.2">
      <c r="A2090" s="37"/>
      <c r="L2090" s="37"/>
    </row>
    <row r="2091" spans="1:12" ht="16.5" customHeight="1" x14ac:dyDescent="0.2">
      <c r="A2091" s="37"/>
      <c r="L2091" s="37"/>
    </row>
    <row r="2092" spans="1:12" ht="16.5" customHeight="1" x14ac:dyDescent="0.2">
      <c r="A2092" s="37"/>
      <c r="L2092" s="37"/>
    </row>
    <row r="2093" spans="1:12" ht="16.5" customHeight="1" x14ac:dyDescent="0.2">
      <c r="A2093" s="37"/>
      <c r="L2093" s="37"/>
    </row>
    <row r="2094" spans="1:12" ht="16.5" customHeight="1" x14ac:dyDescent="0.2">
      <c r="A2094" s="37"/>
      <c r="L2094" s="37"/>
    </row>
    <row r="2095" spans="1:12" ht="16.5" customHeight="1" x14ac:dyDescent="0.2">
      <c r="A2095" s="37"/>
      <c r="L2095" s="37"/>
    </row>
    <row r="2096" spans="1:12" ht="16.5" customHeight="1" x14ac:dyDescent="0.2">
      <c r="A2096" s="37"/>
      <c r="L2096" s="37"/>
    </row>
    <row r="2097" spans="1:12" ht="16.5" customHeight="1" x14ac:dyDescent="0.2">
      <c r="A2097" s="37"/>
      <c r="L2097" s="37"/>
    </row>
    <row r="2098" spans="1:12" ht="16.5" customHeight="1" x14ac:dyDescent="0.2">
      <c r="A2098" s="37"/>
      <c r="L2098" s="37"/>
    </row>
    <row r="2099" spans="1:12" ht="16.5" customHeight="1" x14ac:dyDescent="0.2">
      <c r="A2099" s="37"/>
      <c r="L2099" s="37"/>
    </row>
    <row r="2100" spans="1:12" ht="16.5" customHeight="1" x14ac:dyDescent="0.2">
      <c r="A2100" s="37"/>
      <c r="L2100" s="37"/>
    </row>
    <row r="2101" spans="1:12" ht="16.5" customHeight="1" x14ac:dyDescent="0.2">
      <c r="A2101" s="37"/>
      <c r="L2101" s="37"/>
    </row>
    <row r="2102" spans="1:12" ht="16.5" customHeight="1" x14ac:dyDescent="0.2">
      <c r="A2102" s="37"/>
      <c r="L2102" s="37"/>
    </row>
    <row r="2103" spans="1:12" ht="16.5" customHeight="1" x14ac:dyDescent="0.2">
      <c r="A2103" s="37"/>
      <c r="L2103" s="37"/>
    </row>
    <row r="2104" spans="1:12" ht="16.5" customHeight="1" x14ac:dyDescent="0.2">
      <c r="A2104" s="37"/>
      <c r="L2104" s="37"/>
    </row>
    <row r="2105" spans="1:12" ht="16.5" customHeight="1" x14ac:dyDescent="0.2">
      <c r="A2105" s="37"/>
      <c r="L2105" s="37"/>
    </row>
    <row r="2106" spans="1:12" ht="16.5" customHeight="1" x14ac:dyDescent="0.2">
      <c r="A2106" s="37"/>
      <c r="L2106" s="37"/>
    </row>
    <row r="2107" spans="1:12" ht="16.5" customHeight="1" x14ac:dyDescent="0.2">
      <c r="A2107" s="37"/>
      <c r="L2107" s="37"/>
    </row>
    <row r="2108" spans="1:12" ht="16.5" customHeight="1" x14ac:dyDescent="0.2">
      <c r="A2108" s="37"/>
      <c r="L2108" s="37"/>
    </row>
    <row r="2109" spans="1:12" ht="16.5" customHeight="1" x14ac:dyDescent="0.2">
      <c r="A2109" s="37"/>
      <c r="L2109" s="37"/>
    </row>
    <row r="2110" spans="1:12" ht="16.5" customHeight="1" x14ac:dyDescent="0.2">
      <c r="A2110" s="37"/>
      <c r="L2110" s="37"/>
    </row>
    <row r="2111" spans="1:12" ht="16.5" customHeight="1" x14ac:dyDescent="0.2">
      <c r="A2111" s="37"/>
      <c r="L2111" s="37"/>
    </row>
    <row r="2112" spans="1:12" ht="16.5" customHeight="1" x14ac:dyDescent="0.2">
      <c r="A2112" s="37"/>
      <c r="L2112" s="37"/>
    </row>
    <row r="2113" spans="1:12" ht="16.5" customHeight="1" x14ac:dyDescent="0.2">
      <c r="A2113" s="37"/>
      <c r="L2113" s="37"/>
    </row>
    <row r="2114" spans="1:12" ht="16.5" customHeight="1" x14ac:dyDescent="0.2">
      <c r="A2114" s="37"/>
      <c r="L2114" s="37"/>
    </row>
    <row r="2115" spans="1:12" ht="16.5" customHeight="1" x14ac:dyDescent="0.2">
      <c r="A2115" s="37"/>
      <c r="L2115" s="37"/>
    </row>
    <row r="2116" spans="1:12" ht="16.5" customHeight="1" x14ac:dyDescent="0.2">
      <c r="A2116" s="37"/>
      <c r="L2116" s="37"/>
    </row>
    <row r="2117" spans="1:12" ht="16.5" customHeight="1" x14ac:dyDescent="0.2">
      <c r="A2117" s="37"/>
      <c r="L2117" s="37"/>
    </row>
    <row r="2118" spans="1:12" ht="16.5" customHeight="1" x14ac:dyDescent="0.2">
      <c r="A2118" s="37"/>
      <c r="L2118" s="37"/>
    </row>
    <row r="2119" spans="1:12" ht="16.5" customHeight="1" x14ac:dyDescent="0.2">
      <c r="A2119" s="37"/>
      <c r="L2119" s="37"/>
    </row>
    <row r="2120" spans="1:12" ht="16.5" customHeight="1" x14ac:dyDescent="0.2">
      <c r="A2120" s="37"/>
      <c r="L2120" s="37"/>
    </row>
    <row r="2121" spans="1:12" ht="16.5" customHeight="1" x14ac:dyDescent="0.2">
      <c r="A2121" s="37"/>
      <c r="L2121" s="37"/>
    </row>
    <row r="2122" spans="1:12" ht="16.5" customHeight="1" x14ac:dyDescent="0.2">
      <c r="A2122" s="37"/>
      <c r="L2122" s="37"/>
    </row>
    <row r="2123" spans="1:12" ht="16.5" customHeight="1" x14ac:dyDescent="0.2">
      <c r="A2123" s="37"/>
      <c r="L2123" s="37"/>
    </row>
    <row r="2124" spans="1:12" ht="16.5" customHeight="1" x14ac:dyDescent="0.2">
      <c r="A2124" s="37"/>
      <c r="L2124" s="37"/>
    </row>
    <row r="2125" spans="1:12" ht="16.5" customHeight="1" x14ac:dyDescent="0.2">
      <c r="A2125" s="37"/>
      <c r="L2125" s="37"/>
    </row>
    <row r="2126" spans="1:12" ht="16.5" customHeight="1" x14ac:dyDescent="0.2">
      <c r="A2126" s="37"/>
      <c r="L2126" s="37"/>
    </row>
    <row r="2127" spans="1:12" ht="16.5" customHeight="1" x14ac:dyDescent="0.2">
      <c r="A2127" s="37"/>
      <c r="L2127" s="37"/>
    </row>
    <row r="2128" spans="1:12" ht="16.5" customHeight="1" x14ac:dyDescent="0.2">
      <c r="A2128" s="37"/>
      <c r="L2128" s="37"/>
    </row>
    <row r="2129" spans="1:12" ht="16.5" customHeight="1" x14ac:dyDescent="0.2">
      <c r="A2129" s="37"/>
      <c r="L2129" s="37"/>
    </row>
    <row r="2130" spans="1:12" ht="16.5" customHeight="1" x14ac:dyDescent="0.2">
      <c r="A2130" s="37"/>
      <c r="L2130" s="37"/>
    </row>
    <row r="2131" spans="1:12" ht="16.5" customHeight="1" x14ac:dyDescent="0.2">
      <c r="A2131" s="37"/>
      <c r="L2131" s="37"/>
    </row>
    <row r="2132" spans="1:12" ht="16.5" customHeight="1" x14ac:dyDescent="0.2">
      <c r="A2132" s="37"/>
      <c r="L2132" s="37"/>
    </row>
    <row r="2133" spans="1:12" ht="16.5" customHeight="1" x14ac:dyDescent="0.2">
      <c r="A2133" s="37"/>
      <c r="L2133" s="37"/>
    </row>
    <row r="2134" spans="1:12" ht="16.5" customHeight="1" x14ac:dyDescent="0.2">
      <c r="A2134" s="37"/>
      <c r="L2134" s="37"/>
    </row>
    <row r="2135" spans="1:12" ht="16.5" customHeight="1" x14ac:dyDescent="0.2">
      <c r="A2135" s="37"/>
      <c r="L2135" s="37"/>
    </row>
    <row r="2136" spans="1:12" ht="16.5" customHeight="1" x14ac:dyDescent="0.2">
      <c r="A2136" s="37"/>
      <c r="L2136" s="37"/>
    </row>
    <row r="2137" spans="1:12" ht="16.5" customHeight="1" x14ac:dyDescent="0.2">
      <c r="A2137" s="37"/>
      <c r="L2137" s="37"/>
    </row>
    <row r="2138" spans="1:12" ht="16.5" customHeight="1" x14ac:dyDescent="0.2">
      <c r="A2138" s="37"/>
      <c r="L2138" s="37"/>
    </row>
    <row r="2139" spans="1:12" ht="16.5" customHeight="1" x14ac:dyDescent="0.2">
      <c r="A2139" s="37"/>
      <c r="L2139" s="37"/>
    </row>
    <row r="2140" spans="1:12" ht="16.5" customHeight="1" x14ac:dyDescent="0.2">
      <c r="A2140" s="37"/>
      <c r="L2140" s="37"/>
    </row>
    <row r="2141" spans="1:12" ht="16.5" customHeight="1" x14ac:dyDescent="0.2">
      <c r="A2141" s="37"/>
      <c r="L2141" s="37"/>
    </row>
    <row r="2142" spans="1:12" ht="16.5" customHeight="1" x14ac:dyDescent="0.2">
      <c r="A2142" s="37"/>
      <c r="L2142" s="37"/>
    </row>
    <row r="2143" spans="1:12" ht="16.5" customHeight="1" x14ac:dyDescent="0.2">
      <c r="A2143" s="37"/>
      <c r="L2143" s="37"/>
    </row>
    <row r="2144" spans="1:12" ht="16.5" customHeight="1" x14ac:dyDescent="0.2">
      <c r="A2144" s="37"/>
      <c r="L2144" s="37"/>
    </row>
    <row r="2145" spans="1:12" ht="16.5" customHeight="1" x14ac:dyDescent="0.2">
      <c r="A2145" s="37"/>
      <c r="L2145" s="37"/>
    </row>
    <row r="2146" spans="1:12" ht="16.5" customHeight="1" x14ac:dyDescent="0.2">
      <c r="A2146" s="37"/>
      <c r="L2146" s="37"/>
    </row>
    <row r="2147" spans="1:12" ht="16.5" customHeight="1" x14ac:dyDescent="0.2">
      <c r="A2147" s="37"/>
      <c r="L2147" s="37"/>
    </row>
    <row r="2148" spans="1:12" ht="16.5" customHeight="1" x14ac:dyDescent="0.2">
      <c r="A2148" s="37"/>
      <c r="L2148" s="37"/>
    </row>
    <row r="2149" spans="1:12" ht="16.5" customHeight="1" x14ac:dyDescent="0.2">
      <c r="A2149" s="37"/>
      <c r="L2149" s="37"/>
    </row>
    <row r="2150" spans="1:12" ht="16.5" customHeight="1" x14ac:dyDescent="0.2">
      <c r="A2150" s="37"/>
      <c r="L2150" s="37"/>
    </row>
    <row r="2151" spans="1:12" ht="16.5" customHeight="1" x14ac:dyDescent="0.2">
      <c r="A2151" s="37"/>
      <c r="L2151" s="37"/>
    </row>
    <row r="2152" spans="1:12" ht="16.5" customHeight="1" x14ac:dyDescent="0.2">
      <c r="A2152" s="37"/>
      <c r="L2152" s="37"/>
    </row>
    <row r="2153" spans="1:12" ht="16.5" customHeight="1" x14ac:dyDescent="0.2">
      <c r="A2153" s="37"/>
      <c r="L2153" s="37"/>
    </row>
    <row r="2154" spans="1:12" ht="16.5" customHeight="1" x14ac:dyDescent="0.2">
      <c r="A2154" s="37"/>
      <c r="L2154" s="37"/>
    </row>
    <row r="2155" spans="1:12" ht="16.5" customHeight="1" x14ac:dyDescent="0.2">
      <c r="A2155" s="37"/>
      <c r="L2155" s="37"/>
    </row>
    <row r="2156" spans="1:12" ht="16.5" customHeight="1" x14ac:dyDescent="0.2">
      <c r="A2156" s="37"/>
      <c r="L2156" s="37"/>
    </row>
    <row r="2157" spans="1:12" ht="16.5" customHeight="1" x14ac:dyDescent="0.2">
      <c r="A2157" s="37"/>
      <c r="L2157" s="37"/>
    </row>
    <row r="2158" spans="1:12" ht="16.5" customHeight="1" x14ac:dyDescent="0.2">
      <c r="A2158" s="37"/>
      <c r="L2158" s="37"/>
    </row>
    <row r="2159" spans="1:12" ht="16.5" customHeight="1" x14ac:dyDescent="0.2">
      <c r="A2159" s="37"/>
      <c r="L2159" s="37"/>
    </row>
    <row r="2160" spans="1:12" ht="16.5" customHeight="1" x14ac:dyDescent="0.2">
      <c r="A2160" s="37"/>
      <c r="L2160" s="37"/>
    </row>
    <row r="2161" spans="1:12" ht="16.5" customHeight="1" x14ac:dyDescent="0.2">
      <c r="A2161" s="37"/>
      <c r="L2161" s="37"/>
    </row>
    <row r="2162" spans="1:12" ht="16.5" customHeight="1" x14ac:dyDescent="0.2">
      <c r="A2162" s="37"/>
      <c r="L2162" s="37"/>
    </row>
    <row r="2163" spans="1:12" ht="16.5" customHeight="1" x14ac:dyDescent="0.2">
      <c r="A2163" s="37"/>
      <c r="L2163" s="37"/>
    </row>
    <row r="2164" spans="1:12" ht="16.5" customHeight="1" x14ac:dyDescent="0.2">
      <c r="A2164" s="37"/>
      <c r="L2164" s="37"/>
    </row>
    <row r="2165" spans="1:12" ht="16.5" customHeight="1" x14ac:dyDescent="0.2">
      <c r="A2165" s="37"/>
      <c r="L2165" s="37"/>
    </row>
    <row r="2166" spans="1:12" ht="16.5" customHeight="1" x14ac:dyDescent="0.2">
      <c r="A2166" s="37"/>
      <c r="L2166" s="37"/>
    </row>
    <row r="2167" spans="1:12" ht="16.5" customHeight="1" x14ac:dyDescent="0.2">
      <c r="A2167" s="37"/>
      <c r="L2167" s="37"/>
    </row>
    <row r="2168" spans="1:12" ht="16.5" customHeight="1" x14ac:dyDescent="0.2">
      <c r="A2168" s="37"/>
      <c r="L2168" s="37"/>
    </row>
    <row r="2169" spans="1:12" ht="16.5" customHeight="1" x14ac:dyDescent="0.2">
      <c r="A2169" s="37"/>
      <c r="L2169" s="37"/>
    </row>
    <row r="2170" spans="1:12" ht="16.5" customHeight="1" x14ac:dyDescent="0.2">
      <c r="A2170" s="37"/>
      <c r="L2170" s="37"/>
    </row>
    <row r="2171" spans="1:12" ht="16.5" customHeight="1" x14ac:dyDescent="0.2">
      <c r="A2171" s="37"/>
      <c r="L2171" s="37"/>
    </row>
    <row r="2172" spans="1:12" ht="16.5" customHeight="1" x14ac:dyDescent="0.2">
      <c r="A2172" s="37"/>
      <c r="L2172" s="37"/>
    </row>
    <row r="2173" spans="1:12" ht="16.5" customHeight="1" x14ac:dyDescent="0.2">
      <c r="A2173" s="37"/>
      <c r="L2173" s="37"/>
    </row>
    <row r="2174" spans="1:12" ht="16.5" customHeight="1" x14ac:dyDescent="0.2">
      <c r="A2174" s="37"/>
      <c r="L2174" s="37"/>
    </row>
    <row r="2175" spans="1:12" ht="16.5" customHeight="1" x14ac:dyDescent="0.2">
      <c r="A2175" s="37"/>
      <c r="L2175" s="37"/>
    </row>
    <row r="2176" spans="1:12" ht="16.5" customHeight="1" x14ac:dyDescent="0.2">
      <c r="A2176" s="37"/>
      <c r="L2176" s="37"/>
    </row>
    <row r="2177" spans="1:12" ht="16.5" customHeight="1" x14ac:dyDescent="0.2">
      <c r="A2177" s="37"/>
      <c r="L2177" s="37"/>
    </row>
    <row r="2178" spans="1:12" ht="16.5" customHeight="1" x14ac:dyDescent="0.2">
      <c r="A2178" s="37"/>
      <c r="L2178" s="37"/>
    </row>
    <row r="2179" spans="1:12" ht="16.5" customHeight="1" x14ac:dyDescent="0.2">
      <c r="A2179" s="37"/>
      <c r="L2179" s="37"/>
    </row>
    <row r="2180" spans="1:12" ht="16.5" customHeight="1" x14ac:dyDescent="0.2">
      <c r="A2180" s="37"/>
      <c r="L2180" s="37"/>
    </row>
    <row r="2181" spans="1:12" ht="16.5" customHeight="1" x14ac:dyDescent="0.2">
      <c r="A2181" s="37"/>
      <c r="L2181" s="37"/>
    </row>
    <row r="2182" spans="1:12" ht="16.5" customHeight="1" x14ac:dyDescent="0.2">
      <c r="A2182" s="37"/>
      <c r="L2182" s="37"/>
    </row>
    <row r="2183" spans="1:12" ht="16.5" customHeight="1" x14ac:dyDescent="0.2">
      <c r="A2183" s="37"/>
      <c r="L2183" s="37"/>
    </row>
    <row r="2184" spans="1:12" ht="16.5" customHeight="1" x14ac:dyDescent="0.2">
      <c r="A2184" s="37"/>
      <c r="L2184" s="37"/>
    </row>
    <row r="2185" spans="1:12" ht="16.5" customHeight="1" x14ac:dyDescent="0.2">
      <c r="A2185" s="37"/>
      <c r="L2185" s="37"/>
    </row>
    <row r="2186" spans="1:12" ht="16.5" customHeight="1" x14ac:dyDescent="0.2">
      <c r="A2186" s="37"/>
      <c r="L2186" s="37"/>
    </row>
    <row r="2187" spans="1:12" ht="16.5" customHeight="1" x14ac:dyDescent="0.2">
      <c r="A2187" s="37"/>
      <c r="L2187" s="37"/>
    </row>
    <row r="2188" spans="1:12" ht="16.5" customHeight="1" x14ac:dyDescent="0.2">
      <c r="A2188" s="37"/>
      <c r="L2188" s="37"/>
    </row>
    <row r="2189" spans="1:12" ht="16.5" customHeight="1" x14ac:dyDescent="0.2">
      <c r="A2189" s="37"/>
      <c r="L2189" s="37"/>
    </row>
    <row r="2190" spans="1:12" ht="16.5" customHeight="1" x14ac:dyDescent="0.2">
      <c r="A2190" s="37"/>
      <c r="L2190" s="37"/>
    </row>
    <row r="2191" spans="1:12" ht="16.5" customHeight="1" x14ac:dyDescent="0.2">
      <c r="A2191" s="37"/>
      <c r="L2191" s="37"/>
    </row>
    <row r="2192" spans="1:12" ht="16.5" customHeight="1" x14ac:dyDescent="0.2">
      <c r="A2192" s="37"/>
      <c r="L2192" s="37"/>
    </row>
    <row r="2193" spans="1:12" ht="16.5" customHeight="1" x14ac:dyDescent="0.2">
      <c r="A2193" s="37"/>
      <c r="L2193" s="37"/>
    </row>
    <row r="2194" spans="1:12" ht="16.5" customHeight="1" x14ac:dyDescent="0.2">
      <c r="A2194" s="37"/>
      <c r="L2194" s="37"/>
    </row>
    <row r="2195" spans="1:12" ht="16.5" customHeight="1" x14ac:dyDescent="0.2">
      <c r="A2195" s="37"/>
      <c r="L2195" s="37"/>
    </row>
    <row r="2196" spans="1:12" ht="16.5" customHeight="1" x14ac:dyDescent="0.2">
      <c r="A2196" s="37"/>
      <c r="L2196" s="37"/>
    </row>
    <row r="2197" spans="1:12" ht="16.5" customHeight="1" x14ac:dyDescent="0.2">
      <c r="A2197" s="37"/>
      <c r="L2197" s="37"/>
    </row>
    <row r="2198" spans="1:12" ht="16.5" customHeight="1" x14ac:dyDescent="0.2">
      <c r="A2198" s="37"/>
      <c r="L2198" s="37"/>
    </row>
    <row r="2199" spans="1:12" ht="16.5" customHeight="1" x14ac:dyDescent="0.2">
      <c r="A2199" s="37"/>
      <c r="L2199" s="37"/>
    </row>
    <row r="2200" spans="1:12" ht="16.5" customHeight="1" x14ac:dyDescent="0.2">
      <c r="A2200" s="37"/>
      <c r="L2200" s="37"/>
    </row>
    <row r="2201" spans="1:12" ht="16.5" customHeight="1" x14ac:dyDescent="0.2">
      <c r="A2201" s="37"/>
      <c r="L2201" s="37"/>
    </row>
    <row r="2202" spans="1:12" ht="16.5" customHeight="1" x14ac:dyDescent="0.2">
      <c r="A2202" s="37"/>
      <c r="L2202" s="37"/>
    </row>
    <row r="2203" spans="1:12" ht="16.5" customHeight="1" x14ac:dyDescent="0.2">
      <c r="A2203" s="37"/>
      <c r="L2203" s="37"/>
    </row>
    <row r="2204" spans="1:12" ht="16.5" customHeight="1" x14ac:dyDescent="0.2">
      <c r="A2204" s="37"/>
      <c r="L2204" s="37"/>
    </row>
    <row r="2205" spans="1:12" ht="16.5" customHeight="1" x14ac:dyDescent="0.2">
      <c r="A2205" s="37"/>
      <c r="L2205" s="37"/>
    </row>
    <row r="2206" spans="1:12" ht="16.5" customHeight="1" x14ac:dyDescent="0.2">
      <c r="A2206" s="37"/>
      <c r="L2206" s="37"/>
    </row>
    <row r="2207" spans="1:12" ht="16.5" customHeight="1" x14ac:dyDescent="0.2">
      <c r="A2207" s="37"/>
      <c r="L2207" s="37"/>
    </row>
    <row r="2208" spans="1:12" ht="16.5" customHeight="1" x14ac:dyDescent="0.2">
      <c r="A2208" s="37"/>
      <c r="L2208" s="37"/>
    </row>
    <row r="2209" spans="1:12" ht="16.5" customHeight="1" x14ac:dyDescent="0.2">
      <c r="A2209" s="37"/>
      <c r="L2209" s="37"/>
    </row>
    <row r="2210" spans="1:12" ht="16.5" customHeight="1" x14ac:dyDescent="0.2">
      <c r="A2210" s="37"/>
      <c r="L2210" s="37"/>
    </row>
    <row r="2211" spans="1:12" ht="16.5" customHeight="1" x14ac:dyDescent="0.2">
      <c r="A2211" s="37"/>
      <c r="L2211" s="37"/>
    </row>
    <row r="2212" spans="1:12" ht="16.5" customHeight="1" x14ac:dyDescent="0.2">
      <c r="A2212" s="37"/>
      <c r="L2212" s="37"/>
    </row>
    <row r="2213" spans="1:12" ht="16.5" customHeight="1" x14ac:dyDescent="0.2">
      <c r="A2213" s="37"/>
      <c r="L2213" s="37"/>
    </row>
    <row r="2214" spans="1:12" ht="16.5" customHeight="1" x14ac:dyDescent="0.2">
      <c r="A2214" s="37"/>
      <c r="L2214" s="37"/>
    </row>
    <row r="2215" spans="1:12" ht="16.5" customHeight="1" x14ac:dyDescent="0.2">
      <c r="A2215" s="37"/>
      <c r="L2215" s="37"/>
    </row>
    <row r="2216" spans="1:12" ht="16.5" customHeight="1" x14ac:dyDescent="0.2">
      <c r="A2216" s="37"/>
      <c r="L2216" s="37"/>
    </row>
    <row r="2217" spans="1:12" ht="16.5" customHeight="1" x14ac:dyDescent="0.2">
      <c r="A2217" s="37"/>
      <c r="L2217" s="37"/>
    </row>
    <row r="2218" spans="1:12" ht="16.5" customHeight="1" x14ac:dyDescent="0.2">
      <c r="A2218" s="37"/>
      <c r="L2218" s="37"/>
    </row>
    <row r="2219" spans="1:12" ht="16.5" customHeight="1" x14ac:dyDescent="0.2">
      <c r="A2219" s="37"/>
      <c r="L2219" s="37"/>
    </row>
    <row r="2220" spans="1:12" ht="16.5" customHeight="1" x14ac:dyDescent="0.2">
      <c r="A2220" s="37"/>
      <c r="L2220" s="37"/>
    </row>
    <row r="2221" spans="1:12" ht="16.5" customHeight="1" x14ac:dyDescent="0.2">
      <c r="A2221" s="37"/>
      <c r="L2221" s="37"/>
    </row>
    <row r="2222" spans="1:12" ht="16.5" customHeight="1" x14ac:dyDescent="0.2">
      <c r="A2222" s="37"/>
      <c r="L2222" s="37"/>
    </row>
    <row r="2223" spans="1:12" ht="16.5" customHeight="1" x14ac:dyDescent="0.2">
      <c r="A2223" s="37"/>
      <c r="L2223" s="37"/>
    </row>
    <row r="2224" spans="1:12" ht="16.5" customHeight="1" x14ac:dyDescent="0.2">
      <c r="A2224" s="37"/>
      <c r="L2224" s="37"/>
    </row>
    <row r="2225" spans="1:12" ht="16.5" customHeight="1" x14ac:dyDescent="0.2">
      <c r="A2225" s="37"/>
      <c r="L2225" s="37"/>
    </row>
    <row r="2226" spans="1:12" ht="16.5" customHeight="1" x14ac:dyDescent="0.2">
      <c r="A2226" s="37"/>
      <c r="L2226" s="37"/>
    </row>
    <row r="2227" spans="1:12" ht="16.5" customHeight="1" x14ac:dyDescent="0.2">
      <c r="A2227" s="37"/>
      <c r="L2227" s="37"/>
    </row>
    <row r="2228" spans="1:12" ht="16.5" customHeight="1" x14ac:dyDescent="0.2">
      <c r="A2228" s="37"/>
      <c r="L2228" s="37"/>
    </row>
    <row r="2229" spans="1:12" ht="16.5" customHeight="1" x14ac:dyDescent="0.2">
      <c r="A2229" s="37"/>
      <c r="L2229" s="37"/>
    </row>
    <row r="2230" spans="1:12" ht="16.5" customHeight="1" x14ac:dyDescent="0.2">
      <c r="A2230" s="37"/>
      <c r="L2230" s="37"/>
    </row>
    <row r="2231" spans="1:12" ht="16.5" customHeight="1" x14ac:dyDescent="0.2">
      <c r="A2231" s="37"/>
      <c r="L2231" s="37"/>
    </row>
    <row r="2232" spans="1:12" ht="16.5" customHeight="1" x14ac:dyDescent="0.2">
      <c r="A2232" s="37"/>
      <c r="L2232" s="37"/>
    </row>
    <row r="2233" spans="1:12" ht="16.5" customHeight="1" x14ac:dyDescent="0.2">
      <c r="A2233" s="37"/>
      <c r="L2233" s="37"/>
    </row>
    <row r="2234" spans="1:12" ht="16.5" customHeight="1" x14ac:dyDescent="0.2">
      <c r="A2234" s="37"/>
      <c r="L2234" s="37"/>
    </row>
    <row r="2235" spans="1:12" ht="16.5" customHeight="1" x14ac:dyDescent="0.2">
      <c r="A2235" s="37"/>
      <c r="L2235" s="37"/>
    </row>
    <row r="2236" spans="1:12" ht="16.5" customHeight="1" x14ac:dyDescent="0.2">
      <c r="A2236" s="37"/>
      <c r="L2236" s="37"/>
    </row>
    <row r="2237" spans="1:12" ht="16.5" customHeight="1" x14ac:dyDescent="0.2">
      <c r="A2237" s="37"/>
      <c r="L2237" s="37"/>
    </row>
    <row r="2238" spans="1:12" ht="16.5" customHeight="1" x14ac:dyDescent="0.2">
      <c r="A2238" s="37"/>
      <c r="L2238" s="37"/>
    </row>
    <row r="2239" spans="1:12" ht="16.5" customHeight="1" x14ac:dyDescent="0.2">
      <c r="A2239" s="37"/>
      <c r="L2239" s="37"/>
    </row>
    <row r="2240" spans="1:12" ht="16.5" customHeight="1" x14ac:dyDescent="0.2">
      <c r="A2240" s="37"/>
      <c r="L2240" s="37"/>
    </row>
    <row r="2241" spans="1:12" ht="16.5" customHeight="1" x14ac:dyDescent="0.2">
      <c r="A2241" s="37"/>
      <c r="L2241" s="37"/>
    </row>
    <row r="2242" spans="1:12" ht="16.5" customHeight="1" x14ac:dyDescent="0.2">
      <c r="A2242" s="37"/>
      <c r="L2242" s="37"/>
    </row>
    <row r="2243" spans="1:12" ht="16.5" customHeight="1" x14ac:dyDescent="0.2">
      <c r="A2243" s="37"/>
      <c r="L2243" s="37"/>
    </row>
    <row r="2244" spans="1:12" ht="16.5" customHeight="1" x14ac:dyDescent="0.2">
      <c r="A2244" s="37"/>
      <c r="L2244" s="37"/>
    </row>
    <row r="2245" spans="1:12" ht="16.5" customHeight="1" x14ac:dyDescent="0.2">
      <c r="A2245" s="37"/>
      <c r="L2245" s="37"/>
    </row>
    <row r="2246" spans="1:12" ht="16.5" customHeight="1" x14ac:dyDescent="0.2">
      <c r="A2246" s="37"/>
      <c r="L2246" s="37"/>
    </row>
    <row r="2247" spans="1:12" ht="16.5" customHeight="1" x14ac:dyDescent="0.2">
      <c r="A2247" s="37"/>
      <c r="L2247" s="37"/>
    </row>
    <row r="2248" spans="1:12" ht="16.5" customHeight="1" x14ac:dyDescent="0.2">
      <c r="A2248" s="37"/>
      <c r="L2248" s="37"/>
    </row>
    <row r="2249" spans="1:12" ht="16.5" customHeight="1" x14ac:dyDescent="0.2">
      <c r="A2249" s="37"/>
      <c r="L2249" s="37"/>
    </row>
    <row r="2250" spans="1:12" ht="16.5" customHeight="1" x14ac:dyDescent="0.2">
      <c r="A2250" s="37"/>
      <c r="L2250" s="37"/>
    </row>
    <row r="2251" spans="1:12" ht="16.5" customHeight="1" x14ac:dyDescent="0.2">
      <c r="A2251" s="37"/>
      <c r="L2251" s="37"/>
    </row>
    <row r="2252" spans="1:12" ht="16.5" customHeight="1" x14ac:dyDescent="0.2">
      <c r="A2252" s="37"/>
      <c r="L2252" s="37"/>
    </row>
    <row r="2253" spans="1:12" ht="16.5" customHeight="1" x14ac:dyDescent="0.2">
      <c r="A2253" s="37"/>
      <c r="L2253" s="37"/>
    </row>
    <row r="2254" spans="1:12" ht="16.5" customHeight="1" x14ac:dyDescent="0.2">
      <c r="A2254" s="37"/>
      <c r="L2254" s="37"/>
    </row>
    <row r="2255" spans="1:12" ht="16.5" customHeight="1" x14ac:dyDescent="0.2">
      <c r="A2255" s="37"/>
      <c r="L2255" s="37"/>
    </row>
    <row r="2256" spans="1:12" ht="16.5" customHeight="1" x14ac:dyDescent="0.2">
      <c r="A2256" s="37"/>
      <c r="L2256" s="37"/>
    </row>
    <row r="2257" spans="1:12" ht="16.5" customHeight="1" x14ac:dyDescent="0.2">
      <c r="A2257" s="37"/>
      <c r="L2257" s="37"/>
    </row>
    <row r="2258" spans="1:12" ht="16.5" customHeight="1" x14ac:dyDescent="0.2">
      <c r="A2258" s="37"/>
      <c r="L2258" s="37"/>
    </row>
    <row r="2259" spans="1:12" ht="16.5" customHeight="1" x14ac:dyDescent="0.2">
      <c r="A2259" s="37"/>
      <c r="L2259" s="37"/>
    </row>
    <row r="2260" spans="1:12" ht="16.5" customHeight="1" x14ac:dyDescent="0.2">
      <c r="A2260" s="37"/>
      <c r="L2260" s="37"/>
    </row>
    <row r="2261" spans="1:12" ht="16.5" customHeight="1" x14ac:dyDescent="0.2">
      <c r="A2261" s="37"/>
      <c r="L2261" s="37"/>
    </row>
    <row r="2262" spans="1:12" ht="16.5" customHeight="1" x14ac:dyDescent="0.2">
      <c r="A2262" s="37"/>
      <c r="L2262" s="37"/>
    </row>
    <row r="2263" spans="1:12" ht="16.5" customHeight="1" x14ac:dyDescent="0.2">
      <c r="A2263" s="37"/>
      <c r="L2263" s="37"/>
    </row>
    <row r="2264" spans="1:12" ht="16.5" customHeight="1" x14ac:dyDescent="0.2">
      <c r="A2264" s="37"/>
      <c r="L2264" s="37"/>
    </row>
    <row r="2265" spans="1:12" ht="16.5" customHeight="1" x14ac:dyDescent="0.2">
      <c r="A2265" s="37"/>
      <c r="L2265" s="37"/>
    </row>
    <row r="2266" spans="1:12" ht="16.5" customHeight="1" x14ac:dyDescent="0.2">
      <c r="A2266" s="37"/>
      <c r="L2266" s="37"/>
    </row>
    <row r="2267" spans="1:12" ht="16.5" customHeight="1" x14ac:dyDescent="0.2">
      <c r="A2267" s="37"/>
      <c r="L2267" s="37"/>
    </row>
    <row r="2268" spans="1:12" ht="16.5" customHeight="1" x14ac:dyDescent="0.2">
      <c r="A2268" s="37"/>
      <c r="L2268" s="37"/>
    </row>
    <row r="2269" spans="1:12" ht="16.5" customHeight="1" x14ac:dyDescent="0.2">
      <c r="A2269" s="37"/>
      <c r="L2269" s="37"/>
    </row>
    <row r="2270" spans="1:12" ht="16.5" customHeight="1" x14ac:dyDescent="0.2">
      <c r="A2270" s="37"/>
      <c r="L2270" s="37"/>
    </row>
    <row r="2271" spans="1:12" ht="16.5" customHeight="1" x14ac:dyDescent="0.2">
      <c r="A2271" s="37"/>
      <c r="L2271" s="37"/>
    </row>
    <row r="2272" spans="1:12" ht="16.5" customHeight="1" x14ac:dyDescent="0.2">
      <c r="A2272" s="37"/>
      <c r="L2272" s="37"/>
    </row>
    <row r="2273" spans="1:12" ht="16.5" customHeight="1" x14ac:dyDescent="0.2">
      <c r="A2273" s="37"/>
      <c r="L2273" s="37"/>
    </row>
    <row r="2274" spans="1:12" ht="16.5" customHeight="1" x14ac:dyDescent="0.2">
      <c r="A2274" s="37"/>
      <c r="L2274" s="37"/>
    </row>
    <row r="2275" spans="1:12" ht="16.5" customHeight="1" x14ac:dyDescent="0.2">
      <c r="A2275" s="37"/>
      <c r="L2275" s="37"/>
    </row>
    <row r="2276" spans="1:12" ht="16.5" customHeight="1" x14ac:dyDescent="0.2">
      <c r="A2276" s="37"/>
      <c r="L2276" s="37"/>
    </row>
    <row r="2277" spans="1:12" ht="16.5" customHeight="1" x14ac:dyDescent="0.2">
      <c r="A2277" s="37"/>
      <c r="L2277" s="37"/>
    </row>
    <row r="2278" spans="1:12" ht="16.5" customHeight="1" x14ac:dyDescent="0.2">
      <c r="A2278" s="37"/>
      <c r="L2278" s="37"/>
    </row>
    <row r="2279" spans="1:12" ht="16.5" customHeight="1" x14ac:dyDescent="0.2">
      <c r="A2279" s="37"/>
      <c r="L2279" s="37"/>
    </row>
    <row r="2280" spans="1:12" ht="16.5" customHeight="1" x14ac:dyDescent="0.2">
      <c r="A2280" s="37"/>
      <c r="L2280" s="37"/>
    </row>
    <row r="2281" spans="1:12" ht="16.5" customHeight="1" x14ac:dyDescent="0.2">
      <c r="A2281" s="37"/>
      <c r="L2281" s="37"/>
    </row>
    <row r="2282" spans="1:12" ht="16.5" customHeight="1" x14ac:dyDescent="0.2">
      <c r="A2282" s="37"/>
      <c r="L2282" s="37"/>
    </row>
    <row r="2283" spans="1:12" ht="16.5" customHeight="1" x14ac:dyDescent="0.2">
      <c r="A2283" s="37"/>
      <c r="L2283" s="37"/>
    </row>
    <row r="2284" spans="1:12" ht="16.5" customHeight="1" x14ac:dyDescent="0.2">
      <c r="A2284" s="37"/>
      <c r="L2284" s="37"/>
    </row>
    <row r="2285" spans="1:12" ht="16.5" customHeight="1" x14ac:dyDescent="0.2">
      <c r="A2285" s="37"/>
      <c r="L2285" s="37"/>
    </row>
    <row r="2286" spans="1:12" ht="16.5" customHeight="1" x14ac:dyDescent="0.2">
      <c r="A2286" s="37"/>
      <c r="L2286" s="37"/>
    </row>
    <row r="2287" spans="1:12" ht="16.5" customHeight="1" x14ac:dyDescent="0.2">
      <c r="A2287" s="37"/>
      <c r="L2287" s="37"/>
    </row>
    <row r="2288" spans="1:12" ht="16.5" customHeight="1" x14ac:dyDescent="0.2">
      <c r="A2288" s="37"/>
      <c r="L2288" s="37"/>
    </row>
    <row r="2289" spans="1:12" ht="16.5" customHeight="1" x14ac:dyDescent="0.2">
      <c r="A2289" s="37"/>
      <c r="L2289" s="37"/>
    </row>
    <row r="2290" spans="1:12" ht="16.5" customHeight="1" x14ac:dyDescent="0.2">
      <c r="A2290" s="37"/>
      <c r="L2290" s="37"/>
    </row>
    <row r="2291" spans="1:12" ht="16.5" customHeight="1" x14ac:dyDescent="0.2">
      <c r="A2291" s="37"/>
      <c r="L2291" s="37"/>
    </row>
    <row r="2292" spans="1:12" ht="16.5" customHeight="1" x14ac:dyDescent="0.2">
      <c r="A2292" s="37"/>
      <c r="L2292" s="37"/>
    </row>
    <row r="2293" spans="1:12" ht="16.5" customHeight="1" x14ac:dyDescent="0.2">
      <c r="A2293" s="37"/>
      <c r="L2293" s="37"/>
    </row>
    <row r="2294" spans="1:12" ht="16.5" customHeight="1" x14ac:dyDescent="0.2">
      <c r="A2294" s="37"/>
      <c r="L2294" s="37"/>
    </row>
    <row r="2295" spans="1:12" ht="16.5" customHeight="1" x14ac:dyDescent="0.2">
      <c r="A2295" s="37"/>
      <c r="L2295" s="37"/>
    </row>
    <row r="2296" spans="1:12" ht="16.5" customHeight="1" x14ac:dyDescent="0.2">
      <c r="A2296" s="37"/>
      <c r="L2296" s="37"/>
    </row>
    <row r="2297" spans="1:12" ht="16.5" customHeight="1" x14ac:dyDescent="0.2">
      <c r="A2297" s="37"/>
      <c r="L2297" s="37"/>
    </row>
    <row r="2298" spans="1:12" ht="16.5" customHeight="1" x14ac:dyDescent="0.2">
      <c r="A2298" s="37"/>
      <c r="L2298" s="37"/>
    </row>
    <row r="2299" spans="1:12" ht="16.5" customHeight="1" x14ac:dyDescent="0.2">
      <c r="A2299" s="37"/>
      <c r="L2299" s="37"/>
    </row>
    <row r="2300" spans="1:12" ht="16.5" customHeight="1" x14ac:dyDescent="0.2">
      <c r="A2300" s="37"/>
      <c r="L2300" s="37"/>
    </row>
    <row r="2301" spans="1:12" ht="16.5" customHeight="1" x14ac:dyDescent="0.2">
      <c r="A2301" s="37"/>
      <c r="L2301" s="37"/>
    </row>
    <row r="2302" spans="1:12" ht="16.5" customHeight="1" x14ac:dyDescent="0.2">
      <c r="A2302" s="37"/>
      <c r="L2302" s="37"/>
    </row>
    <row r="2303" spans="1:12" ht="16.5" customHeight="1" x14ac:dyDescent="0.2">
      <c r="A2303" s="37"/>
      <c r="L2303" s="37"/>
    </row>
    <row r="2304" spans="1:12" ht="16.5" customHeight="1" x14ac:dyDescent="0.2">
      <c r="A2304" s="37"/>
      <c r="L2304" s="37"/>
    </row>
    <row r="2305" spans="1:12" ht="16.5" customHeight="1" x14ac:dyDescent="0.2">
      <c r="A2305" s="37"/>
      <c r="L2305" s="37"/>
    </row>
    <row r="2306" spans="1:12" ht="16.5" customHeight="1" x14ac:dyDescent="0.2">
      <c r="A2306" s="37"/>
      <c r="L2306" s="37"/>
    </row>
    <row r="2307" spans="1:12" ht="16.5" customHeight="1" x14ac:dyDescent="0.2">
      <c r="A2307" s="37"/>
      <c r="L2307" s="37"/>
    </row>
    <row r="2308" spans="1:12" ht="16.5" customHeight="1" x14ac:dyDescent="0.2">
      <c r="A2308" s="37"/>
      <c r="L2308" s="37"/>
    </row>
    <row r="2309" spans="1:12" ht="16.5" customHeight="1" x14ac:dyDescent="0.2">
      <c r="A2309" s="37"/>
      <c r="L2309" s="37"/>
    </row>
    <row r="2310" spans="1:12" ht="16.5" customHeight="1" x14ac:dyDescent="0.2">
      <c r="A2310" s="37"/>
      <c r="L2310" s="37"/>
    </row>
    <row r="2311" spans="1:12" ht="16.5" customHeight="1" x14ac:dyDescent="0.2">
      <c r="A2311" s="37"/>
      <c r="L2311" s="37"/>
    </row>
    <row r="2312" spans="1:12" ht="16.5" customHeight="1" x14ac:dyDescent="0.2">
      <c r="A2312" s="37"/>
      <c r="L2312" s="37"/>
    </row>
    <row r="2313" spans="1:12" ht="16.5" customHeight="1" x14ac:dyDescent="0.2">
      <c r="A2313" s="37"/>
      <c r="L2313" s="37"/>
    </row>
    <row r="2314" spans="1:12" ht="16.5" customHeight="1" x14ac:dyDescent="0.2">
      <c r="A2314" s="37"/>
      <c r="L2314" s="37"/>
    </row>
    <row r="2315" spans="1:12" ht="16.5" customHeight="1" x14ac:dyDescent="0.2">
      <c r="A2315" s="37"/>
      <c r="L2315" s="37"/>
    </row>
    <row r="2316" spans="1:12" ht="16.5" customHeight="1" x14ac:dyDescent="0.2">
      <c r="A2316" s="37"/>
      <c r="L2316" s="37"/>
    </row>
    <row r="2317" spans="1:12" ht="16.5" customHeight="1" x14ac:dyDescent="0.2">
      <c r="A2317" s="37"/>
      <c r="L2317" s="37"/>
    </row>
    <row r="2318" spans="1:12" ht="16.5" customHeight="1" x14ac:dyDescent="0.2">
      <c r="A2318" s="37"/>
      <c r="L2318" s="37"/>
    </row>
    <row r="2319" spans="1:12" ht="16.5" customHeight="1" x14ac:dyDescent="0.2">
      <c r="A2319" s="37"/>
      <c r="L2319" s="37"/>
    </row>
    <row r="2320" spans="1:12" ht="16.5" customHeight="1" x14ac:dyDescent="0.2">
      <c r="A2320" s="37"/>
      <c r="L2320" s="37"/>
    </row>
    <row r="2321" spans="1:12" ht="16.5" customHeight="1" x14ac:dyDescent="0.2">
      <c r="A2321" s="37"/>
      <c r="L2321" s="37"/>
    </row>
    <row r="2322" spans="1:12" ht="16.5" customHeight="1" x14ac:dyDescent="0.2">
      <c r="A2322" s="37"/>
      <c r="L2322" s="37"/>
    </row>
    <row r="2323" spans="1:12" ht="16.5" customHeight="1" x14ac:dyDescent="0.2">
      <c r="A2323" s="37"/>
      <c r="L2323" s="37"/>
    </row>
    <row r="2324" spans="1:12" ht="16.5" customHeight="1" x14ac:dyDescent="0.2">
      <c r="A2324" s="37"/>
      <c r="L2324" s="37"/>
    </row>
    <row r="2325" spans="1:12" ht="16.5" customHeight="1" x14ac:dyDescent="0.2">
      <c r="A2325" s="37"/>
      <c r="L2325" s="37"/>
    </row>
    <row r="2326" spans="1:12" ht="16.5" customHeight="1" x14ac:dyDescent="0.2">
      <c r="A2326" s="37"/>
      <c r="L2326" s="37"/>
    </row>
    <row r="2327" spans="1:12" ht="16.5" customHeight="1" x14ac:dyDescent="0.2">
      <c r="A2327" s="37"/>
      <c r="L2327" s="37"/>
    </row>
    <row r="2328" spans="1:12" ht="16.5" customHeight="1" x14ac:dyDescent="0.2">
      <c r="A2328" s="37"/>
      <c r="L2328" s="37"/>
    </row>
    <row r="2329" spans="1:12" ht="16.5" customHeight="1" x14ac:dyDescent="0.2">
      <c r="A2329" s="37"/>
      <c r="L2329" s="37"/>
    </row>
    <row r="2330" spans="1:12" ht="16.5" customHeight="1" x14ac:dyDescent="0.2">
      <c r="A2330" s="37"/>
      <c r="L2330" s="37"/>
    </row>
    <row r="2331" spans="1:12" ht="16.5" customHeight="1" x14ac:dyDescent="0.2">
      <c r="A2331" s="37"/>
      <c r="L2331" s="37"/>
    </row>
    <row r="2332" spans="1:12" ht="16.5" customHeight="1" x14ac:dyDescent="0.2">
      <c r="A2332" s="37"/>
      <c r="L2332" s="37"/>
    </row>
    <row r="2333" spans="1:12" ht="16.5" customHeight="1" x14ac:dyDescent="0.2">
      <c r="A2333" s="37"/>
      <c r="L2333" s="37"/>
    </row>
    <row r="2334" spans="1:12" ht="16.5" customHeight="1" x14ac:dyDescent="0.2">
      <c r="A2334" s="37"/>
      <c r="L2334" s="37"/>
    </row>
    <row r="2335" spans="1:12" ht="16.5" customHeight="1" x14ac:dyDescent="0.2">
      <c r="A2335" s="37"/>
      <c r="L2335" s="37"/>
    </row>
    <row r="2336" spans="1:12" ht="16.5" customHeight="1" x14ac:dyDescent="0.2">
      <c r="A2336" s="37"/>
      <c r="L2336" s="37"/>
    </row>
    <row r="2337" spans="1:12" ht="16.5" customHeight="1" x14ac:dyDescent="0.2">
      <c r="A2337" s="37"/>
      <c r="L2337" s="37"/>
    </row>
    <row r="2338" spans="1:12" ht="16.5" customHeight="1" x14ac:dyDescent="0.2">
      <c r="A2338" s="37"/>
      <c r="L2338" s="37"/>
    </row>
    <row r="2339" spans="1:12" ht="16.5" customHeight="1" x14ac:dyDescent="0.2">
      <c r="A2339" s="37"/>
      <c r="L2339" s="37"/>
    </row>
    <row r="2340" spans="1:12" ht="16.5" customHeight="1" x14ac:dyDescent="0.2">
      <c r="A2340" s="37"/>
      <c r="L2340" s="37"/>
    </row>
    <row r="2341" spans="1:12" ht="16.5" customHeight="1" x14ac:dyDescent="0.2">
      <c r="A2341" s="37"/>
      <c r="L2341" s="37"/>
    </row>
    <row r="2342" spans="1:12" ht="16.5" customHeight="1" x14ac:dyDescent="0.2">
      <c r="A2342" s="37"/>
      <c r="L2342" s="37"/>
    </row>
    <row r="2343" spans="1:12" ht="16.5" customHeight="1" x14ac:dyDescent="0.2">
      <c r="A2343" s="37"/>
      <c r="L2343" s="37"/>
    </row>
    <row r="2344" spans="1:12" ht="16.5" customHeight="1" x14ac:dyDescent="0.2">
      <c r="A2344" s="37"/>
      <c r="L2344" s="37"/>
    </row>
    <row r="2345" spans="1:12" ht="16.5" customHeight="1" x14ac:dyDescent="0.2">
      <c r="A2345" s="37"/>
      <c r="L2345" s="37"/>
    </row>
    <row r="2346" spans="1:12" ht="16.5" customHeight="1" x14ac:dyDescent="0.2">
      <c r="A2346" s="37"/>
      <c r="L2346" s="37"/>
    </row>
    <row r="2347" spans="1:12" ht="16.5" customHeight="1" x14ac:dyDescent="0.2">
      <c r="A2347" s="37"/>
      <c r="L2347" s="37"/>
    </row>
    <row r="2348" spans="1:12" ht="16.5" customHeight="1" x14ac:dyDescent="0.2">
      <c r="A2348" s="37"/>
      <c r="L2348" s="37"/>
    </row>
    <row r="2349" spans="1:12" ht="16.5" customHeight="1" x14ac:dyDescent="0.2">
      <c r="A2349" s="37"/>
      <c r="L2349" s="37"/>
    </row>
    <row r="2350" spans="1:12" ht="16.5" customHeight="1" x14ac:dyDescent="0.2">
      <c r="A2350" s="37"/>
      <c r="L2350" s="37"/>
    </row>
    <row r="2351" spans="1:12" ht="16.5" customHeight="1" x14ac:dyDescent="0.2">
      <c r="A2351" s="37"/>
      <c r="L2351" s="37"/>
    </row>
    <row r="2352" spans="1:12" ht="16.5" customHeight="1" x14ac:dyDescent="0.2">
      <c r="A2352" s="37"/>
      <c r="L2352" s="37"/>
    </row>
    <row r="2353" spans="1:12" ht="16.5" customHeight="1" x14ac:dyDescent="0.2">
      <c r="A2353" s="37"/>
      <c r="L2353" s="37"/>
    </row>
    <row r="2354" spans="1:12" ht="16.5" customHeight="1" x14ac:dyDescent="0.2">
      <c r="A2354" s="37"/>
      <c r="L2354" s="37"/>
    </row>
    <row r="2355" spans="1:12" ht="16.5" customHeight="1" x14ac:dyDescent="0.2">
      <c r="A2355" s="37"/>
      <c r="L2355" s="37"/>
    </row>
    <row r="2356" spans="1:12" ht="16.5" customHeight="1" x14ac:dyDescent="0.2">
      <c r="A2356" s="37"/>
      <c r="L2356" s="37"/>
    </row>
    <row r="2357" spans="1:12" ht="16.5" customHeight="1" x14ac:dyDescent="0.2">
      <c r="A2357" s="37"/>
      <c r="L2357" s="37"/>
    </row>
    <row r="2358" spans="1:12" ht="16.5" customHeight="1" x14ac:dyDescent="0.2">
      <c r="A2358" s="37"/>
      <c r="L2358" s="37"/>
    </row>
    <row r="2359" spans="1:12" ht="16.5" customHeight="1" x14ac:dyDescent="0.2">
      <c r="A2359" s="37"/>
      <c r="L2359" s="37"/>
    </row>
    <row r="2360" spans="1:12" ht="16.5" customHeight="1" x14ac:dyDescent="0.2">
      <c r="A2360" s="37"/>
      <c r="L2360" s="37"/>
    </row>
    <row r="2361" spans="1:12" ht="16.5" customHeight="1" x14ac:dyDescent="0.2">
      <c r="A2361" s="37"/>
      <c r="L2361" s="37"/>
    </row>
    <row r="2362" spans="1:12" ht="16.5" customHeight="1" x14ac:dyDescent="0.2">
      <c r="A2362" s="37"/>
      <c r="L2362" s="37"/>
    </row>
    <row r="2363" spans="1:12" ht="16.5" customHeight="1" x14ac:dyDescent="0.2">
      <c r="A2363" s="37"/>
      <c r="L2363" s="37"/>
    </row>
    <row r="2364" spans="1:12" ht="16.5" customHeight="1" x14ac:dyDescent="0.2">
      <c r="A2364" s="37"/>
      <c r="L2364" s="37"/>
    </row>
    <row r="2365" spans="1:12" ht="16.5" customHeight="1" x14ac:dyDescent="0.2">
      <c r="A2365" s="37"/>
      <c r="L2365" s="37"/>
    </row>
    <row r="2366" spans="1:12" ht="16.5" customHeight="1" x14ac:dyDescent="0.2">
      <c r="A2366" s="37"/>
      <c r="L2366" s="37"/>
    </row>
    <row r="2367" spans="1:12" ht="16.5" customHeight="1" x14ac:dyDescent="0.2">
      <c r="A2367" s="37"/>
      <c r="L2367" s="37"/>
    </row>
    <row r="2368" spans="1:12" ht="16.5" customHeight="1" x14ac:dyDescent="0.2">
      <c r="A2368" s="37"/>
      <c r="L2368" s="37"/>
    </row>
    <row r="2369" spans="1:12" ht="16.5" customHeight="1" x14ac:dyDescent="0.2">
      <c r="A2369" s="37"/>
      <c r="L2369" s="37"/>
    </row>
    <row r="2370" spans="1:12" ht="16.5" customHeight="1" x14ac:dyDescent="0.2">
      <c r="A2370" s="37"/>
      <c r="L2370" s="37"/>
    </row>
    <row r="2371" spans="1:12" ht="16.5" customHeight="1" x14ac:dyDescent="0.2">
      <c r="A2371" s="37"/>
      <c r="L2371" s="37"/>
    </row>
    <row r="2372" spans="1:12" ht="16.5" customHeight="1" x14ac:dyDescent="0.2">
      <c r="A2372" s="37"/>
      <c r="L2372" s="37"/>
    </row>
    <row r="2373" spans="1:12" ht="16.5" customHeight="1" x14ac:dyDescent="0.2">
      <c r="A2373" s="37"/>
      <c r="L2373" s="37"/>
    </row>
    <row r="2374" spans="1:12" ht="16.5" customHeight="1" x14ac:dyDescent="0.2">
      <c r="A2374" s="37"/>
      <c r="L2374" s="37"/>
    </row>
    <row r="2375" spans="1:12" ht="16.5" customHeight="1" x14ac:dyDescent="0.2">
      <c r="A2375" s="37"/>
      <c r="L2375" s="37"/>
    </row>
    <row r="2376" spans="1:12" ht="16.5" customHeight="1" x14ac:dyDescent="0.2">
      <c r="A2376" s="37"/>
      <c r="L2376" s="37"/>
    </row>
    <row r="2377" spans="1:12" ht="16.5" customHeight="1" x14ac:dyDescent="0.2">
      <c r="A2377" s="37"/>
      <c r="L2377" s="37"/>
    </row>
    <row r="2378" spans="1:12" ht="16.5" customHeight="1" x14ac:dyDescent="0.2">
      <c r="A2378" s="37"/>
      <c r="L2378" s="37"/>
    </row>
    <row r="2379" spans="1:12" ht="16.5" customHeight="1" x14ac:dyDescent="0.2">
      <c r="A2379" s="37"/>
      <c r="L2379" s="37"/>
    </row>
    <row r="2380" spans="1:12" ht="16.5" customHeight="1" x14ac:dyDescent="0.2">
      <c r="A2380" s="37"/>
      <c r="L2380" s="37"/>
    </row>
    <row r="2381" spans="1:12" ht="16.5" customHeight="1" x14ac:dyDescent="0.2">
      <c r="A2381" s="37"/>
      <c r="L2381" s="37"/>
    </row>
    <row r="2382" spans="1:12" ht="16.5" customHeight="1" x14ac:dyDescent="0.2">
      <c r="A2382" s="37"/>
      <c r="L2382" s="37"/>
    </row>
    <row r="2383" spans="1:12" ht="16.5" customHeight="1" x14ac:dyDescent="0.2">
      <c r="A2383" s="37"/>
      <c r="L2383" s="37"/>
    </row>
    <row r="2384" spans="1:12" ht="16.5" customHeight="1" x14ac:dyDescent="0.2">
      <c r="A2384" s="37"/>
      <c r="L2384" s="37"/>
    </row>
    <row r="2385" spans="1:12" ht="16.5" customHeight="1" x14ac:dyDescent="0.2">
      <c r="A2385" s="37"/>
      <c r="L2385" s="37"/>
    </row>
    <row r="2386" spans="1:12" ht="16.5" customHeight="1" x14ac:dyDescent="0.2">
      <c r="A2386" s="37"/>
      <c r="L2386" s="37"/>
    </row>
    <row r="2387" spans="1:12" ht="16.5" customHeight="1" x14ac:dyDescent="0.2">
      <c r="A2387" s="37"/>
      <c r="L2387" s="37"/>
    </row>
    <row r="2388" spans="1:12" ht="16.5" customHeight="1" x14ac:dyDescent="0.2">
      <c r="A2388" s="37"/>
      <c r="L2388" s="37"/>
    </row>
    <row r="2389" spans="1:12" ht="16.5" customHeight="1" x14ac:dyDescent="0.2">
      <c r="A2389" s="37"/>
      <c r="L2389" s="37"/>
    </row>
    <row r="2390" spans="1:12" ht="16.5" customHeight="1" x14ac:dyDescent="0.2">
      <c r="A2390" s="37"/>
      <c r="L2390" s="37"/>
    </row>
    <row r="2391" spans="1:12" ht="16.5" customHeight="1" x14ac:dyDescent="0.2">
      <c r="A2391" s="37"/>
      <c r="L2391" s="37"/>
    </row>
    <row r="2392" spans="1:12" ht="16.5" customHeight="1" x14ac:dyDescent="0.2">
      <c r="A2392" s="37"/>
      <c r="L2392" s="37"/>
    </row>
    <row r="2393" spans="1:12" ht="16.5" customHeight="1" x14ac:dyDescent="0.2">
      <c r="A2393" s="37"/>
      <c r="L2393" s="37"/>
    </row>
    <row r="2394" spans="1:12" ht="16.5" customHeight="1" x14ac:dyDescent="0.2">
      <c r="A2394" s="37"/>
      <c r="L2394" s="37"/>
    </row>
    <row r="2395" spans="1:12" ht="16.5" customHeight="1" x14ac:dyDescent="0.2">
      <c r="A2395" s="37"/>
      <c r="L2395" s="37"/>
    </row>
    <row r="2396" spans="1:12" ht="16.5" customHeight="1" x14ac:dyDescent="0.2">
      <c r="A2396" s="37"/>
      <c r="L2396" s="37"/>
    </row>
    <row r="2397" spans="1:12" ht="16.5" customHeight="1" x14ac:dyDescent="0.2">
      <c r="A2397" s="37"/>
      <c r="L2397" s="37"/>
    </row>
    <row r="2398" spans="1:12" ht="16.5" customHeight="1" x14ac:dyDescent="0.2">
      <c r="A2398" s="37"/>
      <c r="L2398" s="37"/>
    </row>
    <row r="2399" spans="1:12" ht="16.5" customHeight="1" x14ac:dyDescent="0.2">
      <c r="A2399" s="37"/>
      <c r="L2399" s="37"/>
    </row>
    <row r="2400" spans="1:12" ht="16.5" customHeight="1" x14ac:dyDescent="0.2">
      <c r="A2400" s="37"/>
      <c r="L2400" s="37"/>
    </row>
    <row r="2401" spans="1:12" ht="16.5" customHeight="1" x14ac:dyDescent="0.2">
      <c r="A2401" s="37"/>
      <c r="L2401" s="37"/>
    </row>
    <row r="2402" spans="1:12" ht="16.5" customHeight="1" x14ac:dyDescent="0.2">
      <c r="A2402" s="37"/>
      <c r="L2402" s="37"/>
    </row>
    <row r="2403" spans="1:12" ht="16.5" customHeight="1" x14ac:dyDescent="0.2">
      <c r="A2403" s="37"/>
      <c r="L2403" s="37"/>
    </row>
    <row r="2404" spans="1:12" ht="16.5" customHeight="1" x14ac:dyDescent="0.2">
      <c r="A2404" s="37"/>
      <c r="L2404" s="37"/>
    </row>
    <row r="2405" spans="1:12" ht="16.5" customHeight="1" x14ac:dyDescent="0.2">
      <c r="A2405" s="37"/>
      <c r="L2405" s="37"/>
    </row>
    <row r="2406" spans="1:12" ht="16.5" customHeight="1" x14ac:dyDescent="0.2">
      <c r="A2406" s="37"/>
      <c r="L2406" s="37"/>
    </row>
    <row r="2407" spans="1:12" ht="16.5" customHeight="1" x14ac:dyDescent="0.2">
      <c r="A2407" s="37"/>
      <c r="L2407" s="37"/>
    </row>
    <row r="2408" spans="1:12" ht="16.5" customHeight="1" x14ac:dyDescent="0.2">
      <c r="A2408" s="37"/>
      <c r="L2408" s="37"/>
    </row>
    <row r="2409" spans="1:12" ht="16.5" customHeight="1" x14ac:dyDescent="0.2">
      <c r="A2409" s="37"/>
      <c r="L2409" s="37"/>
    </row>
    <row r="2410" spans="1:12" ht="16.5" customHeight="1" x14ac:dyDescent="0.2">
      <c r="A2410" s="37"/>
      <c r="L2410" s="37"/>
    </row>
    <row r="2411" spans="1:12" ht="16.5" customHeight="1" x14ac:dyDescent="0.2">
      <c r="A2411" s="37"/>
      <c r="L2411" s="37"/>
    </row>
    <row r="2412" spans="1:12" ht="16.5" customHeight="1" x14ac:dyDescent="0.2">
      <c r="A2412" s="37"/>
      <c r="L2412" s="37"/>
    </row>
    <row r="2413" spans="1:12" ht="16.5" customHeight="1" x14ac:dyDescent="0.2">
      <c r="A2413" s="37"/>
      <c r="L2413" s="37"/>
    </row>
    <row r="2414" spans="1:12" ht="16.5" customHeight="1" x14ac:dyDescent="0.2">
      <c r="A2414" s="37"/>
      <c r="L2414" s="37"/>
    </row>
    <row r="2415" spans="1:12" ht="16.5" customHeight="1" x14ac:dyDescent="0.2">
      <c r="A2415" s="37"/>
      <c r="L2415" s="37"/>
    </row>
    <row r="2416" spans="1:12" ht="16.5" customHeight="1" x14ac:dyDescent="0.2">
      <c r="A2416" s="37"/>
      <c r="L2416" s="37"/>
    </row>
    <row r="2417" spans="1:12" ht="16.5" customHeight="1" x14ac:dyDescent="0.2">
      <c r="A2417" s="37"/>
      <c r="L2417" s="37"/>
    </row>
    <row r="2418" spans="1:12" ht="16.5" customHeight="1" x14ac:dyDescent="0.2">
      <c r="A2418" s="37"/>
      <c r="L2418" s="37"/>
    </row>
    <row r="2419" spans="1:12" ht="16.5" customHeight="1" x14ac:dyDescent="0.2">
      <c r="A2419" s="37"/>
      <c r="L2419" s="37"/>
    </row>
    <row r="2420" spans="1:12" ht="16.5" customHeight="1" x14ac:dyDescent="0.2">
      <c r="A2420" s="37"/>
      <c r="L2420" s="37"/>
    </row>
    <row r="2421" spans="1:12" ht="16.5" customHeight="1" x14ac:dyDescent="0.2">
      <c r="A2421" s="37"/>
      <c r="L2421" s="37"/>
    </row>
    <row r="2422" spans="1:12" ht="16.5" customHeight="1" x14ac:dyDescent="0.2">
      <c r="A2422" s="37"/>
      <c r="L2422" s="37"/>
    </row>
    <row r="2423" spans="1:12" ht="16.5" customHeight="1" x14ac:dyDescent="0.2">
      <c r="A2423" s="37"/>
      <c r="L2423" s="37"/>
    </row>
    <row r="2424" spans="1:12" ht="16.5" customHeight="1" x14ac:dyDescent="0.2">
      <c r="A2424" s="37"/>
      <c r="L2424" s="37"/>
    </row>
    <row r="2425" spans="1:12" ht="16.5" customHeight="1" x14ac:dyDescent="0.2">
      <c r="A2425" s="37"/>
      <c r="L2425" s="37"/>
    </row>
    <row r="2426" spans="1:12" ht="16.5" customHeight="1" x14ac:dyDescent="0.2">
      <c r="A2426" s="37"/>
      <c r="L2426" s="37"/>
    </row>
    <row r="2427" spans="1:12" ht="16.5" customHeight="1" x14ac:dyDescent="0.2">
      <c r="A2427" s="37"/>
      <c r="L2427" s="37"/>
    </row>
    <row r="2428" spans="1:12" ht="16.5" customHeight="1" x14ac:dyDescent="0.2">
      <c r="A2428" s="37"/>
      <c r="L2428" s="37"/>
    </row>
    <row r="2429" spans="1:12" ht="16.5" customHeight="1" x14ac:dyDescent="0.2">
      <c r="A2429" s="37"/>
      <c r="L2429" s="37"/>
    </row>
    <row r="2430" spans="1:12" ht="16.5" customHeight="1" x14ac:dyDescent="0.2">
      <c r="A2430" s="37"/>
      <c r="L2430" s="37"/>
    </row>
    <row r="2431" spans="1:12" ht="16.5" customHeight="1" x14ac:dyDescent="0.2">
      <c r="A2431" s="37"/>
      <c r="L2431" s="37"/>
    </row>
    <row r="2432" spans="1:12" ht="16.5" customHeight="1" x14ac:dyDescent="0.2">
      <c r="A2432" s="37"/>
      <c r="L2432" s="37"/>
    </row>
    <row r="2433" spans="1:12" ht="16.5" customHeight="1" x14ac:dyDescent="0.2">
      <c r="A2433" s="37"/>
      <c r="L2433" s="37"/>
    </row>
    <row r="2434" spans="1:12" ht="16.5" customHeight="1" x14ac:dyDescent="0.2">
      <c r="A2434" s="37"/>
      <c r="L2434" s="37"/>
    </row>
    <row r="2435" spans="1:12" ht="16.5" customHeight="1" x14ac:dyDescent="0.2">
      <c r="A2435" s="37"/>
      <c r="L2435" s="37"/>
    </row>
    <row r="2436" spans="1:12" ht="16.5" customHeight="1" x14ac:dyDescent="0.2">
      <c r="A2436" s="37"/>
      <c r="L2436" s="37"/>
    </row>
    <row r="2437" spans="1:12" ht="16.5" customHeight="1" x14ac:dyDescent="0.2">
      <c r="A2437" s="37"/>
      <c r="L2437" s="37"/>
    </row>
    <row r="2438" spans="1:12" ht="16.5" customHeight="1" x14ac:dyDescent="0.2">
      <c r="A2438" s="37"/>
      <c r="L2438" s="37"/>
    </row>
    <row r="2439" spans="1:12" ht="16.5" customHeight="1" x14ac:dyDescent="0.2">
      <c r="A2439" s="37"/>
      <c r="L2439" s="37"/>
    </row>
    <row r="2440" spans="1:12" ht="16.5" customHeight="1" x14ac:dyDescent="0.2">
      <c r="A2440" s="37"/>
      <c r="L2440" s="37"/>
    </row>
    <row r="2441" spans="1:12" ht="16.5" customHeight="1" x14ac:dyDescent="0.2">
      <c r="A2441" s="37"/>
      <c r="L2441" s="37"/>
    </row>
    <row r="2442" spans="1:12" ht="16.5" customHeight="1" x14ac:dyDescent="0.2">
      <c r="A2442" s="37"/>
      <c r="L2442" s="37"/>
    </row>
    <row r="2443" spans="1:12" ht="16.5" customHeight="1" x14ac:dyDescent="0.2">
      <c r="A2443" s="37"/>
      <c r="L2443" s="37"/>
    </row>
    <row r="2444" spans="1:12" ht="16.5" customHeight="1" x14ac:dyDescent="0.2">
      <c r="A2444" s="37"/>
      <c r="L2444" s="37"/>
    </row>
    <row r="2445" spans="1:12" ht="16.5" customHeight="1" x14ac:dyDescent="0.2">
      <c r="A2445" s="37"/>
      <c r="L2445" s="37"/>
    </row>
    <row r="2446" spans="1:12" ht="16.5" customHeight="1" x14ac:dyDescent="0.2">
      <c r="A2446" s="37"/>
      <c r="L2446" s="37"/>
    </row>
    <row r="2447" spans="1:12" ht="16.5" customHeight="1" x14ac:dyDescent="0.2">
      <c r="A2447" s="37"/>
      <c r="L2447" s="37"/>
    </row>
    <row r="2448" spans="1:12" ht="16.5" customHeight="1" x14ac:dyDescent="0.2">
      <c r="A2448" s="37"/>
      <c r="L2448" s="37"/>
    </row>
    <row r="2449" spans="1:12" ht="16.5" customHeight="1" x14ac:dyDescent="0.2">
      <c r="A2449" s="37"/>
      <c r="L2449" s="37"/>
    </row>
    <row r="2450" spans="1:12" ht="16.5" customHeight="1" x14ac:dyDescent="0.2">
      <c r="A2450" s="37"/>
      <c r="L2450" s="37"/>
    </row>
    <row r="2451" spans="1:12" ht="16.5" customHeight="1" x14ac:dyDescent="0.2">
      <c r="A2451" s="37"/>
      <c r="L2451" s="37"/>
    </row>
    <row r="2452" spans="1:12" ht="16.5" customHeight="1" x14ac:dyDescent="0.2">
      <c r="A2452" s="37"/>
      <c r="L2452" s="37"/>
    </row>
    <row r="2453" spans="1:12" ht="16.5" customHeight="1" x14ac:dyDescent="0.2">
      <c r="A2453" s="37"/>
      <c r="L2453" s="37"/>
    </row>
    <row r="2454" spans="1:12" ht="16.5" customHeight="1" x14ac:dyDescent="0.2">
      <c r="A2454" s="37"/>
      <c r="L2454" s="37"/>
    </row>
    <row r="2455" spans="1:12" ht="16.5" customHeight="1" x14ac:dyDescent="0.2">
      <c r="A2455" s="37"/>
      <c r="L2455" s="37"/>
    </row>
    <row r="2456" spans="1:12" ht="16.5" customHeight="1" x14ac:dyDescent="0.2">
      <c r="A2456" s="37"/>
      <c r="L2456" s="37"/>
    </row>
    <row r="2457" spans="1:12" ht="16.5" customHeight="1" x14ac:dyDescent="0.2">
      <c r="A2457" s="37"/>
      <c r="L2457" s="37"/>
    </row>
    <row r="2458" spans="1:12" ht="16.5" customHeight="1" x14ac:dyDescent="0.2">
      <c r="A2458" s="37"/>
      <c r="L2458" s="37"/>
    </row>
    <row r="2459" spans="1:12" ht="16.5" customHeight="1" x14ac:dyDescent="0.2">
      <c r="A2459" s="37"/>
      <c r="L2459" s="37"/>
    </row>
    <row r="2460" spans="1:12" ht="16.5" customHeight="1" x14ac:dyDescent="0.2">
      <c r="A2460" s="37"/>
      <c r="L2460" s="37"/>
    </row>
    <row r="2461" spans="1:12" ht="16.5" customHeight="1" x14ac:dyDescent="0.2">
      <c r="A2461" s="37"/>
      <c r="L2461" s="37"/>
    </row>
    <row r="2462" spans="1:12" ht="16.5" customHeight="1" x14ac:dyDescent="0.2">
      <c r="A2462" s="37"/>
      <c r="L2462" s="37"/>
    </row>
    <row r="2463" spans="1:12" ht="16.5" customHeight="1" x14ac:dyDescent="0.2">
      <c r="A2463" s="37"/>
      <c r="L2463" s="37"/>
    </row>
    <row r="2464" spans="1:12" ht="16.5" customHeight="1" x14ac:dyDescent="0.2">
      <c r="A2464" s="37"/>
      <c r="L2464" s="37"/>
    </row>
    <row r="2465" spans="1:12" ht="16.5" customHeight="1" x14ac:dyDescent="0.2">
      <c r="A2465" s="37"/>
      <c r="L2465" s="37"/>
    </row>
    <row r="2466" spans="1:12" ht="16.5" customHeight="1" x14ac:dyDescent="0.2">
      <c r="A2466" s="37"/>
      <c r="L2466" s="37"/>
    </row>
    <row r="2467" spans="1:12" ht="16.5" customHeight="1" x14ac:dyDescent="0.2">
      <c r="A2467" s="37"/>
      <c r="L2467" s="37"/>
    </row>
    <row r="2468" spans="1:12" ht="16.5" customHeight="1" x14ac:dyDescent="0.2">
      <c r="A2468" s="37"/>
      <c r="L2468" s="37"/>
    </row>
    <row r="2469" spans="1:12" ht="16.5" customHeight="1" x14ac:dyDescent="0.2">
      <c r="A2469" s="37"/>
      <c r="L2469" s="37"/>
    </row>
    <row r="2470" spans="1:12" ht="16.5" customHeight="1" x14ac:dyDescent="0.2">
      <c r="A2470" s="37"/>
      <c r="L2470" s="37"/>
    </row>
    <row r="2471" spans="1:12" ht="16.5" customHeight="1" x14ac:dyDescent="0.2">
      <c r="A2471" s="37"/>
      <c r="L2471" s="37"/>
    </row>
    <row r="2472" spans="1:12" ht="16.5" customHeight="1" x14ac:dyDescent="0.2">
      <c r="A2472" s="37"/>
      <c r="L2472" s="37"/>
    </row>
    <row r="2473" spans="1:12" ht="16.5" customHeight="1" x14ac:dyDescent="0.2">
      <c r="A2473" s="37"/>
      <c r="L2473" s="37"/>
    </row>
    <row r="2474" spans="1:12" ht="16.5" customHeight="1" x14ac:dyDescent="0.2">
      <c r="A2474" s="37"/>
      <c r="L2474" s="37"/>
    </row>
    <row r="2475" spans="1:12" ht="16.5" customHeight="1" x14ac:dyDescent="0.2">
      <c r="A2475" s="37"/>
      <c r="L2475" s="37"/>
    </row>
    <row r="2476" spans="1:12" ht="16.5" customHeight="1" x14ac:dyDescent="0.2">
      <c r="A2476" s="37"/>
      <c r="L2476" s="37"/>
    </row>
    <row r="2477" spans="1:12" ht="16.5" customHeight="1" x14ac:dyDescent="0.2">
      <c r="A2477" s="37"/>
      <c r="L2477" s="37"/>
    </row>
    <row r="2478" spans="1:12" ht="16.5" customHeight="1" x14ac:dyDescent="0.2">
      <c r="A2478" s="37"/>
      <c r="L2478" s="37"/>
    </row>
    <row r="2479" spans="1:12" ht="16.5" customHeight="1" x14ac:dyDescent="0.2">
      <c r="A2479" s="37"/>
      <c r="L2479" s="37"/>
    </row>
    <row r="2480" spans="1:12" ht="16.5" customHeight="1" x14ac:dyDescent="0.2">
      <c r="A2480" s="37"/>
      <c r="L2480" s="37"/>
    </row>
    <row r="2481" spans="1:12" ht="16.5" customHeight="1" x14ac:dyDescent="0.2">
      <c r="A2481" s="37"/>
      <c r="L2481" s="37"/>
    </row>
    <row r="2482" spans="1:12" ht="16.5" customHeight="1" x14ac:dyDescent="0.2">
      <c r="A2482" s="37"/>
      <c r="L2482" s="37"/>
    </row>
    <row r="2483" spans="1:12" ht="16.5" customHeight="1" x14ac:dyDescent="0.2">
      <c r="A2483" s="37"/>
      <c r="L2483" s="37"/>
    </row>
    <row r="2484" spans="1:12" ht="16.5" customHeight="1" x14ac:dyDescent="0.2">
      <c r="A2484" s="37"/>
      <c r="L2484" s="37"/>
    </row>
    <row r="2485" spans="1:12" ht="16.5" customHeight="1" x14ac:dyDescent="0.2">
      <c r="A2485" s="37"/>
      <c r="L2485" s="37"/>
    </row>
    <row r="2486" spans="1:12" ht="16.5" customHeight="1" x14ac:dyDescent="0.2">
      <c r="A2486" s="37"/>
      <c r="L2486" s="37"/>
    </row>
    <row r="2487" spans="1:12" ht="16.5" customHeight="1" x14ac:dyDescent="0.2">
      <c r="A2487" s="37"/>
      <c r="L2487" s="37"/>
    </row>
    <row r="2488" spans="1:12" ht="16.5" customHeight="1" x14ac:dyDescent="0.2">
      <c r="A2488" s="37"/>
      <c r="L2488" s="37"/>
    </row>
    <row r="2489" spans="1:12" ht="16.5" customHeight="1" x14ac:dyDescent="0.2">
      <c r="A2489" s="37"/>
      <c r="L2489" s="37"/>
    </row>
    <row r="2490" spans="1:12" ht="16.5" customHeight="1" x14ac:dyDescent="0.2">
      <c r="A2490" s="37"/>
      <c r="L2490" s="37"/>
    </row>
    <row r="2491" spans="1:12" ht="16.5" customHeight="1" x14ac:dyDescent="0.2">
      <c r="A2491" s="37"/>
      <c r="L2491" s="37"/>
    </row>
    <row r="2492" spans="1:12" ht="16.5" customHeight="1" x14ac:dyDescent="0.2">
      <c r="A2492" s="37"/>
      <c r="L2492" s="37"/>
    </row>
    <row r="2493" spans="1:12" ht="16.5" customHeight="1" x14ac:dyDescent="0.2">
      <c r="A2493" s="37"/>
      <c r="L2493" s="37"/>
    </row>
    <row r="2494" spans="1:12" ht="16.5" customHeight="1" x14ac:dyDescent="0.2">
      <c r="A2494" s="37"/>
      <c r="L2494" s="37"/>
    </row>
    <row r="2495" spans="1:12" ht="16.5" customHeight="1" x14ac:dyDescent="0.2">
      <c r="A2495" s="37"/>
      <c r="L2495" s="37"/>
    </row>
    <row r="2496" spans="1:12" ht="16.5" customHeight="1" x14ac:dyDescent="0.2">
      <c r="A2496" s="37"/>
      <c r="L2496" s="37"/>
    </row>
    <row r="2497" spans="1:12" ht="16.5" customHeight="1" x14ac:dyDescent="0.2">
      <c r="A2497" s="37"/>
      <c r="L2497" s="37"/>
    </row>
    <row r="2498" spans="1:12" ht="16.5" customHeight="1" x14ac:dyDescent="0.2">
      <c r="A2498" s="37"/>
      <c r="L2498" s="37"/>
    </row>
    <row r="2499" spans="1:12" ht="16.5" customHeight="1" x14ac:dyDescent="0.2">
      <c r="A2499" s="37"/>
      <c r="L2499" s="37"/>
    </row>
    <row r="2500" spans="1:12" ht="16.5" customHeight="1" x14ac:dyDescent="0.2">
      <c r="A2500" s="37"/>
      <c r="L2500" s="37"/>
    </row>
    <row r="2501" spans="1:12" ht="16.5" customHeight="1" x14ac:dyDescent="0.2">
      <c r="A2501" s="37"/>
      <c r="L2501" s="37"/>
    </row>
    <row r="2502" spans="1:12" ht="16.5" customHeight="1" x14ac:dyDescent="0.2">
      <c r="A2502" s="37"/>
      <c r="L2502" s="37"/>
    </row>
    <row r="2503" spans="1:12" ht="16.5" customHeight="1" x14ac:dyDescent="0.2">
      <c r="A2503" s="37"/>
      <c r="L2503" s="37"/>
    </row>
    <row r="2504" spans="1:12" ht="16.5" customHeight="1" x14ac:dyDescent="0.2">
      <c r="A2504" s="37"/>
      <c r="L2504" s="37"/>
    </row>
    <row r="2505" spans="1:12" ht="16.5" customHeight="1" x14ac:dyDescent="0.2">
      <c r="A2505" s="37"/>
      <c r="L2505" s="37"/>
    </row>
    <row r="2506" spans="1:12" ht="16.5" customHeight="1" x14ac:dyDescent="0.2">
      <c r="A2506" s="37"/>
      <c r="L2506" s="37"/>
    </row>
    <row r="2507" spans="1:12" ht="16.5" customHeight="1" x14ac:dyDescent="0.2">
      <c r="A2507" s="37"/>
      <c r="L2507" s="37"/>
    </row>
    <row r="2508" spans="1:12" ht="16.5" customHeight="1" x14ac:dyDescent="0.2">
      <c r="A2508" s="37"/>
      <c r="L2508" s="37"/>
    </row>
    <row r="2509" spans="1:12" ht="16.5" customHeight="1" x14ac:dyDescent="0.2">
      <c r="A2509" s="37"/>
      <c r="L2509" s="37"/>
    </row>
    <row r="2510" spans="1:12" ht="16.5" customHeight="1" x14ac:dyDescent="0.2">
      <c r="A2510" s="37"/>
      <c r="L2510" s="37"/>
    </row>
    <row r="2511" spans="1:12" ht="16.5" customHeight="1" x14ac:dyDescent="0.2">
      <c r="A2511" s="37"/>
      <c r="L2511" s="37"/>
    </row>
    <row r="2512" spans="1:12" ht="16.5" customHeight="1" x14ac:dyDescent="0.2">
      <c r="A2512" s="37"/>
      <c r="L2512" s="37"/>
    </row>
    <row r="2513" spans="1:12" ht="16.5" customHeight="1" x14ac:dyDescent="0.2">
      <c r="A2513" s="37"/>
      <c r="L2513" s="37"/>
    </row>
    <row r="2514" spans="1:12" ht="16.5" customHeight="1" x14ac:dyDescent="0.2">
      <c r="A2514" s="37"/>
      <c r="L2514" s="37"/>
    </row>
    <row r="2515" spans="1:12" ht="16.5" customHeight="1" x14ac:dyDescent="0.2">
      <c r="A2515" s="37"/>
      <c r="L2515" s="37"/>
    </row>
    <row r="2516" spans="1:12" ht="16.5" customHeight="1" x14ac:dyDescent="0.2">
      <c r="A2516" s="37"/>
      <c r="L2516" s="37"/>
    </row>
    <row r="2517" spans="1:12" ht="16.5" customHeight="1" x14ac:dyDescent="0.2">
      <c r="A2517" s="37"/>
      <c r="L2517" s="37"/>
    </row>
    <row r="2518" spans="1:12" ht="16.5" customHeight="1" x14ac:dyDescent="0.2">
      <c r="A2518" s="37"/>
      <c r="L2518" s="37"/>
    </row>
    <row r="2519" spans="1:12" ht="16.5" customHeight="1" x14ac:dyDescent="0.2">
      <c r="A2519" s="37"/>
      <c r="L2519" s="37"/>
    </row>
    <row r="2520" spans="1:12" ht="16.5" customHeight="1" x14ac:dyDescent="0.2">
      <c r="A2520" s="37"/>
      <c r="L2520" s="37"/>
    </row>
    <row r="2521" spans="1:12" ht="16.5" customHeight="1" x14ac:dyDescent="0.2">
      <c r="A2521" s="37"/>
      <c r="L2521" s="37"/>
    </row>
    <row r="2522" spans="1:12" ht="16.5" customHeight="1" x14ac:dyDescent="0.2">
      <c r="A2522" s="37"/>
      <c r="L2522" s="37"/>
    </row>
    <row r="2523" spans="1:12" ht="16.5" customHeight="1" x14ac:dyDescent="0.2">
      <c r="A2523" s="37"/>
      <c r="L2523" s="37"/>
    </row>
    <row r="2524" spans="1:12" ht="16.5" customHeight="1" x14ac:dyDescent="0.2">
      <c r="A2524" s="37"/>
      <c r="L2524" s="37"/>
    </row>
    <row r="2525" spans="1:12" ht="16.5" customHeight="1" x14ac:dyDescent="0.2">
      <c r="A2525" s="37"/>
      <c r="L2525" s="37"/>
    </row>
    <row r="2526" spans="1:12" ht="16.5" customHeight="1" x14ac:dyDescent="0.2">
      <c r="A2526" s="37"/>
      <c r="L2526" s="37"/>
    </row>
    <row r="2527" spans="1:12" ht="16.5" customHeight="1" x14ac:dyDescent="0.2">
      <c r="A2527" s="37"/>
      <c r="L2527" s="37"/>
    </row>
    <row r="2528" spans="1:12" ht="16.5" customHeight="1" x14ac:dyDescent="0.2">
      <c r="A2528" s="37"/>
      <c r="L2528" s="37"/>
    </row>
    <row r="2529" spans="1:12" ht="16.5" customHeight="1" x14ac:dyDescent="0.2">
      <c r="A2529" s="37"/>
      <c r="L2529" s="37"/>
    </row>
    <row r="2530" spans="1:12" ht="16.5" customHeight="1" x14ac:dyDescent="0.2">
      <c r="A2530" s="37"/>
      <c r="L2530" s="37"/>
    </row>
    <row r="2531" spans="1:12" ht="16.5" customHeight="1" x14ac:dyDescent="0.2">
      <c r="A2531" s="37"/>
      <c r="L2531" s="37"/>
    </row>
    <row r="2532" spans="1:12" ht="16.5" customHeight="1" x14ac:dyDescent="0.2">
      <c r="A2532" s="37"/>
      <c r="L2532" s="37"/>
    </row>
    <row r="2533" spans="1:12" ht="16.5" customHeight="1" x14ac:dyDescent="0.2">
      <c r="A2533" s="37"/>
      <c r="L2533" s="37"/>
    </row>
    <row r="2534" spans="1:12" ht="16.5" customHeight="1" x14ac:dyDescent="0.2">
      <c r="A2534" s="37"/>
      <c r="L2534" s="37"/>
    </row>
    <row r="2535" spans="1:12" ht="16.5" customHeight="1" x14ac:dyDescent="0.2">
      <c r="A2535" s="37"/>
      <c r="L2535" s="37"/>
    </row>
    <row r="2536" spans="1:12" ht="16.5" customHeight="1" x14ac:dyDescent="0.2">
      <c r="A2536" s="37"/>
      <c r="L2536" s="37"/>
    </row>
    <row r="2537" spans="1:12" ht="16.5" customHeight="1" x14ac:dyDescent="0.2">
      <c r="A2537" s="37"/>
      <c r="L2537" s="37"/>
    </row>
    <row r="2538" spans="1:12" ht="16.5" customHeight="1" x14ac:dyDescent="0.2">
      <c r="A2538" s="37"/>
      <c r="L2538" s="37"/>
    </row>
    <row r="2539" spans="1:12" ht="16.5" customHeight="1" x14ac:dyDescent="0.2">
      <c r="A2539" s="37"/>
      <c r="L2539" s="37"/>
    </row>
    <row r="2540" spans="1:12" ht="16.5" customHeight="1" x14ac:dyDescent="0.2">
      <c r="A2540" s="37"/>
      <c r="L2540" s="37"/>
    </row>
    <row r="2541" spans="1:12" ht="16.5" customHeight="1" x14ac:dyDescent="0.2">
      <c r="A2541" s="37"/>
      <c r="L2541" s="37"/>
    </row>
    <row r="2542" spans="1:12" ht="16.5" customHeight="1" x14ac:dyDescent="0.2">
      <c r="A2542" s="37"/>
      <c r="L2542" s="37"/>
    </row>
    <row r="2543" spans="1:12" ht="16.5" customHeight="1" x14ac:dyDescent="0.2">
      <c r="A2543" s="37"/>
      <c r="L2543" s="37"/>
    </row>
    <row r="2544" spans="1:12" ht="16.5" customHeight="1" x14ac:dyDescent="0.2">
      <c r="A2544" s="37"/>
      <c r="L2544" s="37"/>
    </row>
    <row r="2545" spans="1:12" ht="16.5" customHeight="1" x14ac:dyDescent="0.2">
      <c r="A2545" s="37"/>
      <c r="L2545" s="37"/>
    </row>
    <row r="2546" spans="1:12" ht="16.5" customHeight="1" x14ac:dyDescent="0.2">
      <c r="A2546" s="37"/>
      <c r="L2546" s="37"/>
    </row>
    <row r="2547" spans="1:12" ht="16.5" customHeight="1" x14ac:dyDescent="0.2">
      <c r="A2547" s="37"/>
      <c r="L2547" s="37"/>
    </row>
    <row r="2548" spans="1:12" ht="16.5" customHeight="1" x14ac:dyDescent="0.2">
      <c r="A2548" s="37"/>
      <c r="L2548" s="37"/>
    </row>
    <row r="2549" spans="1:12" ht="16.5" customHeight="1" x14ac:dyDescent="0.2">
      <c r="A2549" s="37"/>
      <c r="L2549" s="37"/>
    </row>
    <row r="2550" spans="1:12" ht="16.5" customHeight="1" x14ac:dyDescent="0.2">
      <c r="A2550" s="37"/>
      <c r="L2550" s="37"/>
    </row>
    <row r="2551" spans="1:12" ht="16.5" customHeight="1" x14ac:dyDescent="0.2">
      <c r="A2551" s="37"/>
      <c r="L2551" s="37"/>
    </row>
    <row r="2552" spans="1:12" ht="16.5" customHeight="1" x14ac:dyDescent="0.2">
      <c r="A2552" s="37"/>
      <c r="L2552" s="37"/>
    </row>
    <row r="2553" spans="1:12" ht="16.5" customHeight="1" x14ac:dyDescent="0.2">
      <c r="A2553" s="37"/>
      <c r="L2553" s="37"/>
    </row>
    <row r="2554" spans="1:12" ht="16.5" customHeight="1" x14ac:dyDescent="0.2">
      <c r="A2554" s="37"/>
      <c r="L2554" s="37"/>
    </row>
    <row r="2555" spans="1:12" ht="16.5" customHeight="1" x14ac:dyDescent="0.2">
      <c r="A2555" s="37"/>
      <c r="L2555" s="37"/>
    </row>
    <row r="2556" spans="1:12" ht="16.5" customHeight="1" x14ac:dyDescent="0.2">
      <c r="A2556" s="37"/>
      <c r="L2556" s="37"/>
    </row>
    <row r="2557" spans="1:12" ht="16.5" customHeight="1" x14ac:dyDescent="0.2">
      <c r="A2557" s="37"/>
      <c r="L2557" s="37"/>
    </row>
    <row r="2558" spans="1:12" ht="16.5" customHeight="1" x14ac:dyDescent="0.2">
      <c r="A2558" s="37"/>
      <c r="L2558" s="37"/>
    </row>
    <row r="2559" spans="1:12" ht="16.5" customHeight="1" x14ac:dyDescent="0.2">
      <c r="A2559" s="37"/>
      <c r="L2559" s="37"/>
    </row>
    <row r="2560" spans="1:12" ht="16.5" customHeight="1" x14ac:dyDescent="0.2">
      <c r="A2560" s="37"/>
      <c r="L2560" s="37"/>
    </row>
    <row r="2561" spans="1:12" ht="16.5" customHeight="1" x14ac:dyDescent="0.2">
      <c r="A2561" s="37"/>
      <c r="L2561" s="37"/>
    </row>
    <row r="2562" spans="1:12" ht="16.5" customHeight="1" x14ac:dyDescent="0.2">
      <c r="A2562" s="37"/>
      <c r="L2562" s="37"/>
    </row>
    <row r="2563" spans="1:12" ht="16.5" customHeight="1" x14ac:dyDescent="0.2">
      <c r="A2563" s="37"/>
      <c r="L2563" s="37"/>
    </row>
    <row r="2564" spans="1:12" ht="16.5" customHeight="1" x14ac:dyDescent="0.2">
      <c r="A2564" s="37"/>
      <c r="L2564" s="37"/>
    </row>
    <row r="2565" spans="1:12" ht="16.5" customHeight="1" x14ac:dyDescent="0.2">
      <c r="A2565" s="37"/>
      <c r="L2565" s="37"/>
    </row>
    <row r="2566" spans="1:12" ht="16.5" customHeight="1" x14ac:dyDescent="0.2">
      <c r="A2566" s="37"/>
      <c r="L2566" s="37"/>
    </row>
    <row r="2567" spans="1:12" ht="16.5" customHeight="1" x14ac:dyDescent="0.2">
      <c r="A2567" s="37"/>
      <c r="L2567" s="37"/>
    </row>
    <row r="2568" spans="1:12" ht="16.5" customHeight="1" x14ac:dyDescent="0.2">
      <c r="A2568" s="37"/>
      <c r="L2568" s="37"/>
    </row>
    <row r="2569" spans="1:12" ht="16.5" customHeight="1" x14ac:dyDescent="0.2">
      <c r="A2569" s="37"/>
      <c r="L2569" s="37"/>
    </row>
    <row r="2570" spans="1:12" ht="16.5" customHeight="1" x14ac:dyDescent="0.2">
      <c r="A2570" s="37"/>
      <c r="L2570" s="37"/>
    </row>
    <row r="2571" spans="1:12" ht="16.5" customHeight="1" x14ac:dyDescent="0.2">
      <c r="A2571" s="37"/>
      <c r="L2571" s="37"/>
    </row>
    <row r="2572" spans="1:12" ht="16.5" customHeight="1" x14ac:dyDescent="0.2">
      <c r="A2572" s="37"/>
      <c r="L2572" s="37"/>
    </row>
    <row r="2573" spans="1:12" ht="16.5" customHeight="1" x14ac:dyDescent="0.2">
      <c r="A2573" s="37"/>
      <c r="L2573" s="37"/>
    </row>
    <row r="2574" spans="1:12" ht="16.5" customHeight="1" x14ac:dyDescent="0.2">
      <c r="A2574" s="37"/>
      <c r="L2574" s="37"/>
    </row>
    <row r="2575" spans="1:12" ht="16.5" customHeight="1" x14ac:dyDescent="0.2">
      <c r="A2575" s="37"/>
      <c r="L2575" s="37"/>
    </row>
    <row r="2576" spans="1:12" ht="16.5" customHeight="1" x14ac:dyDescent="0.2">
      <c r="A2576" s="37"/>
      <c r="L2576" s="37"/>
    </row>
    <row r="2577" spans="1:12" ht="16.5" customHeight="1" x14ac:dyDescent="0.2">
      <c r="A2577" s="37"/>
      <c r="L2577" s="37"/>
    </row>
    <row r="2578" spans="1:12" ht="16.5" customHeight="1" x14ac:dyDescent="0.2">
      <c r="A2578" s="37"/>
      <c r="L2578" s="37"/>
    </row>
    <row r="2579" spans="1:12" ht="16.5" customHeight="1" x14ac:dyDescent="0.2">
      <c r="A2579" s="37"/>
      <c r="L2579" s="37"/>
    </row>
    <row r="2580" spans="1:12" ht="16.5" customHeight="1" x14ac:dyDescent="0.2">
      <c r="A2580" s="37"/>
      <c r="L2580" s="37"/>
    </row>
    <row r="2581" spans="1:12" ht="16.5" customHeight="1" x14ac:dyDescent="0.2">
      <c r="A2581" s="37"/>
      <c r="L2581" s="37"/>
    </row>
    <row r="2582" spans="1:12" ht="16.5" customHeight="1" x14ac:dyDescent="0.2">
      <c r="A2582" s="37"/>
      <c r="L2582" s="37"/>
    </row>
    <row r="2583" spans="1:12" ht="16.5" customHeight="1" x14ac:dyDescent="0.2">
      <c r="A2583" s="37"/>
      <c r="L2583" s="37"/>
    </row>
    <row r="2584" spans="1:12" ht="16.5" customHeight="1" x14ac:dyDescent="0.2">
      <c r="A2584" s="37"/>
      <c r="L2584" s="37"/>
    </row>
    <row r="2585" spans="1:12" ht="16.5" customHeight="1" x14ac:dyDescent="0.2">
      <c r="A2585" s="37"/>
      <c r="L2585" s="37"/>
    </row>
    <row r="2586" spans="1:12" ht="16.5" customHeight="1" x14ac:dyDescent="0.2">
      <c r="A2586" s="37"/>
      <c r="L2586" s="37"/>
    </row>
    <row r="2587" spans="1:12" ht="16.5" customHeight="1" x14ac:dyDescent="0.2">
      <c r="A2587" s="37"/>
      <c r="L2587" s="37"/>
    </row>
    <row r="2588" spans="1:12" ht="16.5" customHeight="1" x14ac:dyDescent="0.2">
      <c r="A2588" s="37"/>
      <c r="L2588" s="37"/>
    </row>
    <row r="2589" spans="1:12" ht="16.5" customHeight="1" x14ac:dyDescent="0.2">
      <c r="A2589" s="37"/>
      <c r="L2589" s="37"/>
    </row>
    <row r="2590" spans="1:12" ht="16.5" customHeight="1" x14ac:dyDescent="0.2">
      <c r="A2590" s="37"/>
      <c r="L2590" s="37"/>
    </row>
    <row r="2591" spans="1:12" ht="16.5" customHeight="1" x14ac:dyDescent="0.2">
      <c r="A2591" s="37"/>
      <c r="L2591" s="37"/>
    </row>
    <row r="2592" spans="1:12" ht="16.5" customHeight="1" x14ac:dyDescent="0.2">
      <c r="A2592" s="37"/>
      <c r="L2592" s="37"/>
    </row>
    <row r="2593" spans="1:12" ht="16.5" customHeight="1" x14ac:dyDescent="0.2">
      <c r="A2593" s="37"/>
      <c r="L2593" s="37"/>
    </row>
    <row r="2594" spans="1:12" ht="16.5" customHeight="1" x14ac:dyDescent="0.2">
      <c r="A2594" s="37"/>
      <c r="L2594" s="37"/>
    </row>
    <row r="2595" spans="1:12" ht="16.5" customHeight="1" x14ac:dyDescent="0.2">
      <c r="A2595" s="37"/>
      <c r="L2595" s="37"/>
    </row>
    <row r="2596" spans="1:12" ht="16.5" customHeight="1" x14ac:dyDescent="0.2">
      <c r="A2596" s="37"/>
      <c r="L2596" s="37"/>
    </row>
    <row r="2597" spans="1:12" ht="16.5" customHeight="1" x14ac:dyDescent="0.2">
      <c r="A2597" s="37"/>
      <c r="L2597" s="37"/>
    </row>
    <row r="2598" spans="1:12" ht="16.5" customHeight="1" x14ac:dyDescent="0.2">
      <c r="A2598" s="37"/>
      <c r="L2598" s="37"/>
    </row>
    <row r="2599" spans="1:12" ht="16.5" customHeight="1" x14ac:dyDescent="0.2">
      <c r="A2599" s="37"/>
      <c r="L2599" s="37"/>
    </row>
    <row r="2600" spans="1:12" ht="16.5" customHeight="1" x14ac:dyDescent="0.2">
      <c r="A2600" s="37"/>
      <c r="L2600" s="37"/>
    </row>
    <row r="2601" spans="1:12" ht="16.5" customHeight="1" x14ac:dyDescent="0.2">
      <c r="A2601" s="37"/>
      <c r="L2601" s="37"/>
    </row>
    <row r="2602" spans="1:12" ht="16.5" customHeight="1" x14ac:dyDescent="0.2">
      <c r="A2602" s="37"/>
      <c r="L2602" s="37"/>
    </row>
    <row r="2603" spans="1:12" ht="16.5" customHeight="1" x14ac:dyDescent="0.2">
      <c r="A2603" s="37"/>
      <c r="L2603" s="37"/>
    </row>
    <row r="2604" spans="1:12" ht="16.5" customHeight="1" x14ac:dyDescent="0.2">
      <c r="A2604" s="37"/>
      <c r="L2604" s="37"/>
    </row>
    <row r="2605" spans="1:12" ht="16.5" customHeight="1" x14ac:dyDescent="0.2">
      <c r="A2605" s="37"/>
      <c r="L2605" s="37"/>
    </row>
    <row r="2606" spans="1:12" ht="16.5" customHeight="1" x14ac:dyDescent="0.2">
      <c r="A2606" s="37"/>
      <c r="L2606" s="37"/>
    </row>
    <row r="2607" spans="1:12" ht="16.5" customHeight="1" x14ac:dyDescent="0.2">
      <c r="A2607" s="37"/>
      <c r="L2607" s="37"/>
    </row>
    <row r="2608" spans="1:12" ht="16.5" customHeight="1" x14ac:dyDescent="0.2">
      <c r="A2608" s="37"/>
      <c r="L2608" s="37"/>
    </row>
    <row r="2609" spans="1:12" ht="16.5" customHeight="1" x14ac:dyDescent="0.2">
      <c r="A2609" s="37"/>
      <c r="L2609" s="37"/>
    </row>
    <row r="2610" spans="1:12" ht="16.5" customHeight="1" x14ac:dyDescent="0.2">
      <c r="A2610" s="37"/>
      <c r="L2610" s="37"/>
    </row>
    <row r="2611" spans="1:12" ht="16.5" customHeight="1" x14ac:dyDescent="0.2">
      <c r="A2611" s="37"/>
      <c r="L2611" s="37"/>
    </row>
    <row r="2612" spans="1:12" ht="16.5" customHeight="1" x14ac:dyDescent="0.2">
      <c r="A2612" s="37"/>
      <c r="L2612" s="37"/>
    </row>
    <row r="2613" spans="1:12" ht="16.5" customHeight="1" x14ac:dyDescent="0.2">
      <c r="A2613" s="37"/>
      <c r="L2613" s="37"/>
    </row>
    <row r="2614" spans="1:12" ht="16.5" customHeight="1" x14ac:dyDescent="0.2">
      <c r="A2614" s="37"/>
      <c r="L2614" s="37"/>
    </row>
    <row r="2615" spans="1:12" ht="16.5" customHeight="1" x14ac:dyDescent="0.2">
      <c r="A2615" s="37"/>
      <c r="L2615" s="37"/>
    </row>
    <row r="2616" spans="1:12" ht="16.5" customHeight="1" x14ac:dyDescent="0.2">
      <c r="A2616" s="37"/>
      <c r="L2616" s="37"/>
    </row>
    <row r="2617" spans="1:12" ht="16.5" customHeight="1" x14ac:dyDescent="0.2">
      <c r="A2617" s="37"/>
      <c r="L2617" s="37"/>
    </row>
    <row r="2618" spans="1:12" ht="16.5" customHeight="1" x14ac:dyDescent="0.2">
      <c r="A2618" s="37"/>
      <c r="L2618" s="37"/>
    </row>
    <row r="2619" spans="1:12" ht="16.5" customHeight="1" x14ac:dyDescent="0.2">
      <c r="A2619" s="37"/>
      <c r="L2619" s="37"/>
    </row>
    <row r="2620" spans="1:12" ht="16.5" customHeight="1" x14ac:dyDescent="0.2">
      <c r="A2620" s="37"/>
      <c r="L2620" s="37"/>
    </row>
    <row r="2621" spans="1:12" ht="16.5" customHeight="1" x14ac:dyDescent="0.2">
      <c r="A2621" s="37"/>
      <c r="L2621" s="37"/>
    </row>
    <row r="2622" spans="1:12" ht="16.5" customHeight="1" x14ac:dyDescent="0.2">
      <c r="A2622" s="37"/>
      <c r="L2622" s="37"/>
    </row>
    <row r="2623" spans="1:12" ht="16.5" customHeight="1" x14ac:dyDescent="0.2">
      <c r="A2623" s="37"/>
      <c r="L2623" s="37"/>
    </row>
    <row r="2624" spans="1:12" ht="16.5" customHeight="1" x14ac:dyDescent="0.2">
      <c r="A2624" s="37"/>
      <c r="L2624" s="37"/>
    </row>
    <row r="2625" spans="1:12" ht="16.5" customHeight="1" x14ac:dyDescent="0.2">
      <c r="A2625" s="37"/>
      <c r="L2625" s="37"/>
    </row>
    <row r="2626" spans="1:12" ht="16.5" customHeight="1" x14ac:dyDescent="0.2">
      <c r="A2626" s="37"/>
      <c r="L2626" s="37"/>
    </row>
    <row r="2627" spans="1:12" ht="16.5" customHeight="1" x14ac:dyDescent="0.2">
      <c r="A2627" s="37"/>
      <c r="L2627" s="37"/>
    </row>
    <row r="2628" spans="1:12" ht="16.5" customHeight="1" x14ac:dyDescent="0.2">
      <c r="A2628" s="37"/>
      <c r="L2628" s="37"/>
    </row>
    <row r="2629" spans="1:12" ht="16.5" customHeight="1" x14ac:dyDescent="0.2">
      <c r="A2629" s="37"/>
      <c r="L2629" s="37"/>
    </row>
    <row r="2630" spans="1:12" ht="16.5" customHeight="1" x14ac:dyDescent="0.2">
      <c r="A2630" s="37"/>
      <c r="L2630" s="37"/>
    </row>
    <row r="2631" spans="1:12" ht="16.5" customHeight="1" x14ac:dyDescent="0.2">
      <c r="A2631" s="37"/>
      <c r="L2631" s="37"/>
    </row>
    <row r="2632" spans="1:12" ht="16.5" customHeight="1" x14ac:dyDescent="0.2">
      <c r="A2632" s="37"/>
      <c r="L2632" s="37"/>
    </row>
    <row r="2633" spans="1:12" ht="16.5" customHeight="1" x14ac:dyDescent="0.2">
      <c r="A2633" s="37"/>
      <c r="L2633" s="37"/>
    </row>
    <row r="2634" spans="1:12" ht="16.5" customHeight="1" x14ac:dyDescent="0.2">
      <c r="A2634" s="37"/>
      <c r="L2634" s="37"/>
    </row>
    <row r="2635" spans="1:12" ht="16.5" customHeight="1" x14ac:dyDescent="0.2">
      <c r="A2635" s="37"/>
      <c r="L2635" s="37"/>
    </row>
    <row r="2636" spans="1:12" ht="16.5" customHeight="1" x14ac:dyDescent="0.2">
      <c r="A2636" s="37"/>
      <c r="L2636" s="37"/>
    </row>
    <row r="2637" spans="1:12" ht="16.5" customHeight="1" x14ac:dyDescent="0.2">
      <c r="A2637" s="37"/>
      <c r="L2637" s="37"/>
    </row>
    <row r="2638" spans="1:12" ht="16.5" customHeight="1" x14ac:dyDescent="0.2">
      <c r="A2638" s="37"/>
      <c r="L2638" s="37"/>
    </row>
    <row r="2639" spans="1:12" ht="16.5" customHeight="1" x14ac:dyDescent="0.2">
      <c r="A2639" s="37"/>
      <c r="L2639" s="37"/>
    </row>
    <row r="2640" spans="1:12" ht="16.5" customHeight="1" x14ac:dyDescent="0.2">
      <c r="A2640" s="37"/>
      <c r="L2640" s="37"/>
    </row>
    <row r="2641" spans="1:12" ht="16.5" customHeight="1" x14ac:dyDescent="0.2">
      <c r="A2641" s="37"/>
      <c r="L2641" s="37"/>
    </row>
    <row r="2642" spans="1:12" ht="16.5" customHeight="1" x14ac:dyDescent="0.2">
      <c r="A2642" s="37"/>
      <c r="L2642" s="37"/>
    </row>
    <row r="2643" spans="1:12" ht="16.5" customHeight="1" x14ac:dyDescent="0.2">
      <c r="A2643" s="37"/>
      <c r="L2643" s="37"/>
    </row>
    <row r="2644" spans="1:12" ht="16.5" customHeight="1" x14ac:dyDescent="0.2">
      <c r="A2644" s="37"/>
      <c r="L2644" s="37"/>
    </row>
    <row r="2645" spans="1:12" ht="16.5" customHeight="1" x14ac:dyDescent="0.2">
      <c r="A2645" s="37"/>
      <c r="L2645" s="37"/>
    </row>
    <row r="2646" spans="1:12" ht="16.5" customHeight="1" x14ac:dyDescent="0.2">
      <c r="A2646" s="37"/>
      <c r="L2646" s="37"/>
    </row>
    <row r="2647" spans="1:12" ht="16.5" customHeight="1" x14ac:dyDescent="0.2">
      <c r="A2647" s="37"/>
      <c r="L2647" s="37"/>
    </row>
    <row r="2648" spans="1:12" ht="16.5" customHeight="1" x14ac:dyDescent="0.2">
      <c r="A2648" s="37"/>
      <c r="L2648" s="37"/>
    </row>
    <row r="2649" spans="1:12" ht="16.5" customHeight="1" x14ac:dyDescent="0.2">
      <c r="A2649" s="37"/>
      <c r="L2649" s="37"/>
    </row>
    <row r="2650" spans="1:12" ht="16.5" customHeight="1" x14ac:dyDescent="0.2">
      <c r="A2650" s="37"/>
      <c r="L2650" s="37"/>
    </row>
    <row r="2651" spans="1:12" ht="16.5" customHeight="1" x14ac:dyDescent="0.2">
      <c r="A2651" s="37"/>
      <c r="L2651" s="37"/>
    </row>
    <row r="2652" spans="1:12" ht="16.5" customHeight="1" x14ac:dyDescent="0.2">
      <c r="A2652" s="37"/>
      <c r="L2652" s="37"/>
    </row>
    <row r="2653" spans="1:12" ht="16.5" customHeight="1" x14ac:dyDescent="0.2">
      <c r="A2653" s="37"/>
      <c r="L2653" s="37"/>
    </row>
    <row r="2654" spans="1:12" ht="16.5" customHeight="1" x14ac:dyDescent="0.2">
      <c r="A2654" s="37"/>
      <c r="L2654" s="37"/>
    </row>
    <row r="2655" spans="1:12" ht="16.5" customHeight="1" x14ac:dyDescent="0.2">
      <c r="A2655" s="37"/>
      <c r="L2655" s="37"/>
    </row>
    <row r="2656" spans="1:12" ht="16.5" customHeight="1" x14ac:dyDescent="0.2">
      <c r="A2656" s="37"/>
      <c r="L2656" s="37"/>
    </row>
    <row r="2657" spans="1:12" ht="16.5" customHeight="1" x14ac:dyDescent="0.2">
      <c r="A2657" s="37"/>
      <c r="L2657" s="37"/>
    </row>
    <row r="2658" spans="1:12" ht="16.5" customHeight="1" x14ac:dyDescent="0.2">
      <c r="A2658" s="37"/>
      <c r="L2658" s="37"/>
    </row>
    <row r="2659" spans="1:12" ht="16.5" customHeight="1" x14ac:dyDescent="0.2">
      <c r="A2659" s="37"/>
      <c r="L2659" s="37"/>
    </row>
    <row r="2660" spans="1:12" ht="16.5" customHeight="1" x14ac:dyDescent="0.2">
      <c r="A2660" s="37"/>
      <c r="L2660" s="37"/>
    </row>
    <row r="2661" spans="1:12" ht="16.5" customHeight="1" x14ac:dyDescent="0.2">
      <c r="A2661" s="37"/>
      <c r="L2661" s="37"/>
    </row>
    <row r="2662" spans="1:12" ht="16.5" customHeight="1" x14ac:dyDescent="0.2">
      <c r="A2662" s="37"/>
      <c r="L2662" s="37"/>
    </row>
    <row r="2663" spans="1:12" ht="16.5" customHeight="1" x14ac:dyDescent="0.2">
      <c r="A2663" s="37"/>
      <c r="L2663" s="37"/>
    </row>
    <row r="2664" spans="1:12" ht="16.5" customHeight="1" x14ac:dyDescent="0.2">
      <c r="A2664" s="37"/>
      <c r="L2664" s="37"/>
    </row>
    <row r="2665" spans="1:12" ht="16.5" customHeight="1" x14ac:dyDescent="0.2">
      <c r="A2665" s="37"/>
      <c r="L2665" s="37"/>
    </row>
    <row r="2666" spans="1:12" ht="16.5" customHeight="1" x14ac:dyDescent="0.2">
      <c r="A2666" s="37"/>
      <c r="L2666" s="37"/>
    </row>
    <row r="2667" spans="1:12" ht="16.5" customHeight="1" x14ac:dyDescent="0.2">
      <c r="A2667" s="37"/>
      <c r="L2667" s="37"/>
    </row>
    <row r="2668" spans="1:12" ht="16.5" customHeight="1" x14ac:dyDescent="0.2">
      <c r="A2668" s="37"/>
      <c r="L2668" s="37"/>
    </row>
    <row r="2669" spans="1:12" ht="16.5" customHeight="1" x14ac:dyDescent="0.2">
      <c r="A2669" s="37"/>
      <c r="L2669" s="37"/>
    </row>
    <row r="2670" spans="1:12" ht="16.5" customHeight="1" x14ac:dyDescent="0.2">
      <c r="A2670" s="37"/>
      <c r="L2670" s="37"/>
    </row>
    <row r="2671" spans="1:12" ht="16.5" customHeight="1" x14ac:dyDescent="0.2">
      <c r="A2671" s="37"/>
      <c r="L2671" s="37"/>
    </row>
    <row r="2672" spans="1:12" ht="16.5" customHeight="1" x14ac:dyDescent="0.2">
      <c r="A2672" s="37"/>
      <c r="L2672" s="37"/>
    </row>
    <row r="2673" spans="1:12" ht="16.5" customHeight="1" x14ac:dyDescent="0.2">
      <c r="A2673" s="37"/>
      <c r="L2673" s="37"/>
    </row>
    <row r="2674" spans="1:12" ht="16.5" customHeight="1" x14ac:dyDescent="0.2">
      <c r="A2674" s="37"/>
      <c r="L2674" s="37"/>
    </row>
    <row r="2675" spans="1:12" ht="16.5" customHeight="1" x14ac:dyDescent="0.2">
      <c r="A2675" s="37"/>
      <c r="L2675" s="37"/>
    </row>
    <row r="2676" spans="1:12" ht="16.5" customHeight="1" x14ac:dyDescent="0.2">
      <c r="A2676" s="37"/>
      <c r="L2676" s="37"/>
    </row>
    <row r="2677" spans="1:12" ht="16.5" customHeight="1" x14ac:dyDescent="0.2">
      <c r="A2677" s="37"/>
      <c r="L2677" s="37"/>
    </row>
    <row r="2678" spans="1:12" ht="16.5" customHeight="1" x14ac:dyDescent="0.2">
      <c r="A2678" s="37"/>
      <c r="L2678" s="37"/>
    </row>
    <row r="2679" spans="1:12" ht="16.5" customHeight="1" x14ac:dyDescent="0.2">
      <c r="A2679" s="37"/>
      <c r="L2679" s="37"/>
    </row>
    <row r="2680" spans="1:12" ht="16.5" customHeight="1" x14ac:dyDescent="0.2">
      <c r="A2680" s="37"/>
      <c r="L2680" s="37"/>
    </row>
    <row r="2681" spans="1:12" ht="16.5" customHeight="1" x14ac:dyDescent="0.2">
      <c r="A2681" s="37"/>
      <c r="L2681" s="37"/>
    </row>
    <row r="2682" spans="1:12" ht="16.5" customHeight="1" x14ac:dyDescent="0.2">
      <c r="A2682" s="37"/>
      <c r="L2682" s="37"/>
    </row>
    <row r="2683" spans="1:12" ht="16.5" customHeight="1" x14ac:dyDescent="0.2">
      <c r="A2683" s="37"/>
      <c r="L2683" s="37"/>
    </row>
    <row r="2684" spans="1:12" ht="16.5" customHeight="1" x14ac:dyDescent="0.2">
      <c r="A2684" s="37"/>
      <c r="L2684" s="37"/>
    </row>
    <row r="2685" spans="1:12" ht="16.5" customHeight="1" x14ac:dyDescent="0.2">
      <c r="A2685" s="37"/>
      <c r="L2685" s="37"/>
    </row>
    <row r="2686" spans="1:12" ht="16.5" customHeight="1" x14ac:dyDescent="0.2">
      <c r="A2686" s="37"/>
      <c r="L2686" s="37"/>
    </row>
    <row r="2687" spans="1:12" ht="16.5" customHeight="1" x14ac:dyDescent="0.2">
      <c r="A2687" s="37"/>
      <c r="L2687" s="37"/>
    </row>
    <row r="2688" spans="1:12" ht="16.5" customHeight="1" x14ac:dyDescent="0.2">
      <c r="A2688" s="37"/>
      <c r="L2688" s="37"/>
    </row>
    <row r="2689" spans="1:12" ht="16.5" customHeight="1" x14ac:dyDescent="0.2">
      <c r="A2689" s="37"/>
      <c r="L2689" s="37"/>
    </row>
    <row r="2690" spans="1:12" ht="16.5" customHeight="1" x14ac:dyDescent="0.2">
      <c r="A2690" s="37"/>
      <c r="L2690" s="37"/>
    </row>
    <row r="2691" spans="1:12" ht="16.5" customHeight="1" x14ac:dyDescent="0.2">
      <c r="A2691" s="37"/>
      <c r="L2691" s="37"/>
    </row>
    <row r="2692" spans="1:12" ht="16.5" customHeight="1" x14ac:dyDescent="0.2">
      <c r="A2692" s="37"/>
      <c r="L2692" s="37"/>
    </row>
    <row r="2693" spans="1:12" ht="16.5" customHeight="1" x14ac:dyDescent="0.2">
      <c r="A2693" s="37"/>
      <c r="L2693" s="37"/>
    </row>
    <row r="2694" spans="1:12" ht="16.5" customHeight="1" x14ac:dyDescent="0.2">
      <c r="A2694" s="37"/>
      <c r="L2694" s="37"/>
    </row>
    <row r="2695" spans="1:12" ht="16.5" customHeight="1" x14ac:dyDescent="0.2">
      <c r="A2695" s="37"/>
      <c r="L2695" s="37"/>
    </row>
    <row r="2696" spans="1:12" ht="16.5" customHeight="1" x14ac:dyDescent="0.2">
      <c r="A2696" s="37"/>
      <c r="L2696" s="37"/>
    </row>
    <row r="2697" spans="1:12" ht="16.5" customHeight="1" x14ac:dyDescent="0.2">
      <c r="A2697" s="37"/>
      <c r="L2697" s="37"/>
    </row>
    <row r="2698" spans="1:12" ht="16.5" customHeight="1" x14ac:dyDescent="0.2">
      <c r="A2698" s="37"/>
      <c r="L2698" s="37"/>
    </row>
    <row r="2699" spans="1:12" ht="16.5" customHeight="1" x14ac:dyDescent="0.2">
      <c r="A2699" s="37"/>
      <c r="L2699" s="37"/>
    </row>
    <row r="2700" spans="1:12" ht="16.5" customHeight="1" x14ac:dyDescent="0.2">
      <c r="A2700" s="37"/>
      <c r="L2700" s="37"/>
    </row>
    <row r="2701" spans="1:12" ht="16.5" customHeight="1" x14ac:dyDescent="0.2">
      <c r="A2701" s="37"/>
      <c r="L2701" s="37"/>
    </row>
    <row r="2702" spans="1:12" ht="16.5" customHeight="1" x14ac:dyDescent="0.2">
      <c r="A2702" s="37"/>
      <c r="L2702" s="37"/>
    </row>
    <row r="2703" spans="1:12" ht="16.5" customHeight="1" x14ac:dyDescent="0.2">
      <c r="A2703" s="37"/>
      <c r="L2703" s="37"/>
    </row>
    <row r="2704" spans="1:12" ht="16.5" customHeight="1" x14ac:dyDescent="0.2">
      <c r="A2704" s="37"/>
      <c r="L2704" s="37"/>
    </row>
    <row r="2705" spans="1:12" ht="16.5" customHeight="1" x14ac:dyDescent="0.2">
      <c r="A2705" s="37"/>
      <c r="L2705" s="37"/>
    </row>
    <row r="2706" spans="1:12" ht="16.5" customHeight="1" x14ac:dyDescent="0.2">
      <c r="A2706" s="37"/>
      <c r="L2706" s="37"/>
    </row>
    <row r="2707" spans="1:12" ht="16.5" customHeight="1" x14ac:dyDescent="0.2">
      <c r="A2707" s="37"/>
      <c r="L2707" s="37"/>
    </row>
    <row r="2708" spans="1:12" ht="16.5" customHeight="1" x14ac:dyDescent="0.2">
      <c r="A2708" s="37"/>
      <c r="L2708" s="37"/>
    </row>
    <row r="2709" spans="1:12" ht="16.5" customHeight="1" x14ac:dyDescent="0.2">
      <c r="A2709" s="37"/>
      <c r="L2709" s="37"/>
    </row>
    <row r="2710" spans="1:12" ht="16.5" customHeight="1" x14ac:dyDescent="0.2">
      <c r="A2710" s="37"/>
      <c r="L2710" s="37"/>
    </row>
    <row r="2711" spans="1:12" ht="16.5" customHeight="1" x14ac:dyDescent="0.2">
      <c r="A2711" s="37"/>
      <c r="L2711" s="37"/>
    </row>
    <row r="2712" spans="1:12" ht="16.5" customHeight="1" x14ac:dyDescent="0.2">
      <c r="A2712" s="37"/>
      <c r="L2712" s="37"/>
    </row>
    <row r="2713" spans="1:12" ht="16.5" customHeight="1" x14ac:dyDescent="0.2">
      <c r="A2713" s="37"/>
      <c r="L2713" s="37"/>
    </row>
    <row r="2714" spans="1:12" ht="16.5" customHeight="1" x14ac:dyDescent="0.2">
      <c r="A2714" s="37"/>
      <c r="L2714" s="37"/>
    </row>
    <row r="2715" spans="1:12" ht="16.5" customHeight="1" x14ac:dyDescent="0.2">
      <c r="A2715" s="37"/>
      <c r="L2715" s="37"/>
    </row>
    <row r="2716" spans="1:12" ht="16.5" customHeight="1" x14ac:dyDescent="0.2">
      <c r="A2716" s="37"/>
      <c r="L2716" s="37"/>
    </row>
    <row r="2717" spans="1:12" ht="16.5" customHeight="1" x14ac:dyDescent="0.2">
      <c r="A2717" s="37"/>
      <c r="L2717" s="37"/>
    </row>
    <row r="2718" spans="1:12" ht="16.5" customHeight="1" x14ac:dyDescent="0.2">
      <c r="A2718" s="37"/>
      <c r="L2718" s="37"/>
    </row>
    <row r="2719" spans="1:12" ht="16.5" customHeight="1" x14ac:dyDescent="0.2">
      <c r="A2719" s="37"/>
      <c r="L2719" s="37"/>
    </row>
    <row r="2720" spans="1:12" ht="16.5" customHeight="1" x14ac:dyDescent="0.2">
      <c r="A2720" s="37"/>
      <c r="L2720" s="37"/>
    </row>
    <row r="2721" spans="1:12" ht="16.5" customHeight="1" x14ac:dyDescent="0.2">
      <c r="A2721" s="37"/>
      <c r="L2721" s="37"/>
    </row>
    <row r="2722" spans="1:12" ht="16.5" customHeight="1" x14ac:dyDescent="0.2">
      <c r="A2722" s="37"/>
      <c r="L2722" s="37"/>
    </row>
    <row r="2723" spans="1:12" ht="16.5" customHeight="1" x14ac:dyDescent="0.2">
      <c r="A2723" s="37"/>
      <c r="L2723" s="37"/>
    </row>
    <row r="2724" spans="1:12" ht="16.5" customHeight="1" x14ac:dyDescent="0.2">
      <c r="A2724" s="37"/>
      <c r="L2724" s="37"/>
    </row>
    <row r="2725" spans="1:12" ht="16.5" customHeight="1" x14ac:dyDescent="0.2">
      <c r="A2725" s="37"/>
      <c r="L2725" s="37"/>
    </row>
    <row r="2726" spans="1:12" ht="16.5" customHeight="1" x14ac:dyDescent="0.2">
      <c r="A2726" s="37"/>
      <c r="L2726" s="37"/>
    </row>
    <row r="2727" spans="1:12" ht="16.5" customHeight="1" x14ac:dyDescent="0.2">
      <c r="A2727" s="37"/>
      <c r="L2727" s="37"/>
    </row>
    <row r="2728" spans="1:12" ht="16.5" customHeight="1" x14ac:dyDescent="0.2">
      <c r="A2728" s="37"/>
      <c r="L2728" s="37"/>
    </row>
    <row r="2729" spans="1:12" ht="16.5" customHeight="1" x14ac:dyDescent="0.2">
      <c r="A2729" s="37"/>
      <c r="L2729" s="37"/>
    </row>
    <row r="2730" spans="1:12" ht="16.5" customHeight="1" x14ac:dyDescent="0.2">
      <c r="A2730" s="37"/>
      <c r="L2730" s="37"/>
    </row>
    <row r="2731" spans="1:12" ht="16.5" customHeight="1" x14ac:dyDescent="0.2">
      <c r="A2731" s="37"/>
      <c r="L2731" s="37"/>
    </row>
    <row r="2732" spans="1:12" ht="16.5" customHeight="1" x14ac:dyDescent="0.2">
      <c r="A2732" s="37"/>
      <c r="L2732" s="37"/>
    </row>
    <row r="2733" spans="1:12" ht="16.5" customHeight="1" x14ac:dyDescent="0.2">
      <c r="A2733" s="37"/>
      <c r="L2733" s="37"/>
    </row>
    <row r="2734" spans="1:12" ht="16.5" customHeight="1" x14ac:dyDescent="0.2">
      <c r="A2734" s="37"/>
      <c r="L2734" s="37"/>
    </row>
    <row r="2735" spans="1:12" ht="16.5" customHeight="1" x14ac:dyDescent="0.2">
      <c r="A2735" s="37"/>
      <c r="L2735" s="37"/>
    </row>
    <row r="2736" spans="1:12" ht="16.5" customHeight="1" x14ac:dyDescent="0.2">
      <c r="A2736" s="37"/>
      <c r="L2736" s="37"/>
    </row>
    <row r="2737" spans="1:12" ht="16.5" customHeight="1" x14ac:dyDescent="0.2">
      <c r="A2737" s="37"/>
      <c r="L2737" s="37"/>
    </row>
    <row r="2738" spans="1:12" ht="16.5" customHeight="1" x14ac:dyDescent="0.2">
      <c r="A2738" s="37"/>
      <c r="L2738" s="37"/>
    </row>
    <row r="2739" spans="1:12" ht="16.5" customHeight="1" x14ac:dyDescent="0.2">
      <c r="A2739" s="37"/>
      <c r="L2739" s="37"/>
    </row>
    <row r="2740" spans="1:12" ht="16.5" customHeight="1" x14ac:dyDescent="0.2">
      <c r="A2740" s="37"/>
      <c r="L2740" s="37"/>
    </row>
    <row r="2741" spans="1:12" ht="16.5" customHeight="1" x14ac:dyDescent="0.2">
      <c r="A2741" s="37"/>
      <c r="L2741" s="37"/>
    </row>
    <row r="2742" spans="1:12" ht="16.5" customHeight="1" x14ac:dyDescent="0.2">
      <c r="A2742" s="37"/>
      <c r="L2742" s="37"/>
    </row>
    <row r="2743" spans="1:12" ht="16.5" customHeight="1" x14ac:dyDescent="0.2">
      <c r="A2743" s="37"/>
      <c r="L2743" s="37"/>
    </row>
    <row r="2744" spans="1:12" ht="16.5" customHeight="1" x14ac:dyDescent="0.2">
      <c r="A2744" s="37"/>
      <c r="L2744" s="37"/>
    </row>
    <row r="2745" spans="1:12" ht="16.5" customHeight="1" x14ac:dyDescent="0.2">
      <c r="A2745" s="37"/>
      <c r="L2745" s="37"/>
    </row>
    <row r="2746" spans="1:12" ht="16.5" customHeight="1" x14ac:dyDescent="0.2">
      <c r="A2746" s="37"/>
      <c r="L2746" s="37"/>
    </row>
    <row r="2747" spans="1:12" ht="16.5" customHeight="1" x14ac:dyDescent="0.2">
      <c r="A2747" s="37"/>
      <c r="L2747" s="37"/>
    </row>
    <row r="2748" spans="1:12" ht="16.5" customHeight="1" x14ac:dyDescent="0.2">
      <c r="A2748" s="37"/>
      <c r="L2748" s="37"/>
    </row>
    <row r="2749" spans="1:12" ht="16.5" customHeight="1" x14ac:dyDescent="0.2">
      <c r="A2749" s="37"/>
      <c r="L2749" s="37"/>
    </row>
    <row r="2750" spans="1:12" ht="16.5" customHeight="1" x14ac:dyDescent="0.2">
      <c r="A2750" s="37"/>
      <c r="L2750" s="37"/>
    </row>
    <row r="2751" spans="1:12" ht="16.5" customHeight="1" x14ac:dyDescent="0.2">
      <c r="A2751" s="37"/>
      <c r="L2751" s="37"/>
    </row>
    <row r="2752" spans="1:12" ht="16.5" customHeight="1" x14ac:dyDescent="0.2">
      <c r="A2752" s="37"/>
      <c r="L2752" s="37"/>
    </row>
    <row r="2753" spans="1:12" ht="16.5" customHeight="1" x14ac:dyDescent="0.2">
      <c r="A2753" s="37"/>
      <c r="L2753" s="37"/>
    </row>
    <row r="2754" spans="1:12" ht="16.5" customHeight="1" x14ac:dyDescent="0.2">
      <c r="A2754" s="37"/>
      <c r="L2754" s="37"/>
    </row>
    <row r="2755" spans="1:12" ht="16.5" customHeight="1" x14ac:dyDescent="0.2">
      <c r="A2755" s="37"/>
      <c r="L2755" s="37"/>
    </row>
    <row r="2756" spans="1:12" ht="16.5" customHeight="1" x14ac:dyDescent="0.2">
      <c r="A2756" s="37"/>
      <c r="L2756" s="37"/>
    </row>
    <row r="2757" spans="1:12" ht="16.5" customHeight="1" x14ac:dyDescent="0.2">
      <c r="A2757" s="37"/>
      <c r="L2757" s="37"/>
    </row>
    <row r="2758" spans="1:12" ht="16.5" customHeight="1" x14ac:dyDescent="0.2">
      <c r="A2758" s="37"/>
      <c r="L2758" s="37"/>
    </row>
    <row r="2759" spans="1:12" ht="16.5" customHeight="1" x14ac:dyDescent="0.2">
      <c r="A2759" s="37"/>
      <c r="L2759" s="37"/>
    </row>
    <row r="2760" spans="1:12" ht="16.5" customHeight="1" x14ac:dyDescent="0.2">
      <c r="A2760" s="37"/>
      <c r="L2760" s="37"/>
    </row>
    <row r="2761" spans="1:12" ht="16.5" customHeight="1" x14ac:dyDescent="0.2">
      <c r="A2761" s="37"/>
      <c r="L2761" s="37"/>
    </row>
    <row r="2762" spans="1:12" ht="16.5" customHeight="1" x14ac:dyDescent="0.2">
      <c r="A2762" s="37"/>
      <c r="L2762" s="37"/>
    </row>
    <row r="2763" spans="1:12" ht="16.5" customHeight="1" x14ac:dyDescent="0.2">
      <c r="A2763" s="37"/>
      <c r="L2763" s="37"/>
    </row>
    <row r="2764" spans="1:12" ht="16.5" customHeight="1" x14ac:dyDescent="0.2">
      <c r="A2764" s="37"/>
      <c r="L2764" s="37"/>
    </row>
    <row r="2765" spans="1:12" ht="16.5" customHeight="1" x14ac:dyDescent="0.2">
      <c r="A2765" s="37"/>
      <c r="L2765" s="37"/>
    </row>
    <row r="2766" spans="1:12" ht="16.5" customHeight="1" x14ac:dyDescent="0.2">
      <c r="A2766" s="37"/>
      <c r="L2766" s="37"/>
    </row>
    <row r="2767" spans="1:12" ht="16.5" customHeight="1" x14ac:dyDescent="0.2">
      <c r="A2767" s="37"/>
      <c r="L2767" s="37"/>
    </row>
    <row r="2768" spans="1:12" ht="16.5" customHeight="1" x14ac:dyDescent="0.2">
      <c r="A2768" s="37"/>
      <c r="L2768" s="37"/>
    </row>
    <row r="2769" spans="1:12" ht="16.5" customHeight="1" x14ac:dyDescent="0.2">
      <c r="A2769" s="37"/>
      <c r="L2769" s="37"/>
    </row>
    <row r="2770" spans="1:12" ht="16.5" customHeight="1" x14ac:dyDescent="0.2">
      <c r="A2770" s="37"/>
      <c r="L2770" s="37"/>
    </row>
    <row r="2771" spans="1:12" ht="16.5" customHeight="1" x14ac:dyDescent="0.2">
      <c r="A2771" s="37"/>
      <c r="L2771" s="37"/>
    </row>
    <row r="2772" spans="1:12" ht="16.5" customHeight="1" x14ac:dyDescent="0.2">
      <c r="A2772" s="37"/>
      <c r="L2772" s="37"/>
    </row>
    <row r="2773" spans="1:12" ht="16.5" customHeight="1" x14ac:dyDescent="0.2">
      <c r="A2773" s="37"/>
      <c r="L2773" s="37"/>
    </row>
    <row r="2774" spans="1:12" ht="16.5" customHeight="1" x14ac:dyDescent="0.2">
      <c r="A2774" s="37"/>
      <c r="L2774" s="37"/>
    </row>
    <row r="2775" spans="1:12" ht="16.5" customHeight="1" x14ac:dyDescent="0.2">
      <c r="A2775" s="37"/>
      <c r="L2775" s="37"/>
    </row>
    <row r="2776" spans="1:12" ht="16.5" customHeight="1" x14ac:dyDescent="0.2">
      <c r="A2776" s="37"/>
      <c r="L2776" s="37"/>
    </row>
    <row r="2777" spans="1:12" ht="16.5" customHeight="1" x14ac:dyDescent="0.2">
      <c r="A2777" s="37"/>
      <c r="L2777" s="37"/>
    </row>
    <row r="2778" spans="1:12" ht="16.5" customHeight="1" x14ac:dyDescent="0.2">
      <c r="A2778" s="37"/>
      <c r="L2778" s="37"/>
    </row>
    <row r="2779" spans="1:12" ht="16.5" customHeight="1" x14ac:dyDescent="0.2">
      <c r="A2779" s="37"/>
      <c r="L2779" s="37"/>
    </row>
    <row r="2780" spans="1:12" ht="16.5" customHeight="1" x14ac:dyDescent="0.2">
      <c r="A2780" s="37"/>
      <c r="L2780" s="37"/>
    </row>
    <row r="2781" spans="1:12" ht="16.5" customHeight="1" x14ac:dyDescent="0.2">
      <c r="A2781" s="37"/>
      <c r="L2781" s="37"/>
    </row>
    <row r="2782" spans="1:12" ht="16.5" customHeight="1" x14ac:dyDescent="0.2">
      <c r="A2782" s="37"/>
      <c r="L2782" s="37"/>
    </row>
    <row r="2783" spans="1:12" ht="16.5" customHeight="1" x14ac:dyDescent="0.2">
      <c r="A2783" s="37"/>
      <c r="L2783" s="37"/>
    </row>
    <row r="2784" spans="1:12" ht="16.5" customHeight="1" x14ac:dyDescent="0.2">
      <c r="A2784" s="37"/>
      <c r="L2784" s="37"/>
    </row>
    <row r="2785" spans="1:12" ht="16.5" customHeight="1" x14ac:dyDescent="0.2">
      <c r="A2785" s="37"/>
      <c r="L2785" s="37"/>
    </row>
    <row r="2786" spans="1:12" ht="16.5" customHeight="1" x14ac:dyDescent="0.2">
      <c r="A2786" s="37"/>
      <c r="L2786" s="37"/>
    </row>
    <row r="2787" spans="1:12" ht="16.5" customHeight="1" x14ac:dyDescent="0.2">
      <c r="A2787" s="37"/>
      <c r="L2787" s="37"/>
    </row>
    <row r="2788" spans="1:12" ht="16.5" customHeight="1" x14ac:dyDescent="0.2">
      <c r="A2788" s="37"/>
      <c r="L2788" s="37"/>
    </row>
    <row r="2789" spans="1:12" ht="16.5" customHeight="1" x14ac:dyDescent="0.2">
      <c r="A2789" s="37"/>
      <c r="L2789" s="37"/>
    </row>
    <row r="2790" spans="1:12" ht="16.5" customHeight="1" x14ac:dyDescent="0.2">
      <c r="A2790" s="37"/>
      <c r="L2790" s="37"/>
    </row>
    <row r="2791" spans="1:12" ht="16.5" customHeight="1" x14ac:dyDescent="0.2">
      <c r="A2791" s="37"/>
      <c r="L2791" s="37"/>
    </row>
    <row r="2792" spans="1:12" ht="16.5" customHeight="1" x14ac:dyDescent="0.2">
      <c r="A2792" s="37"/>
      <c r="L2792" s="37"/>
    </row>
    <row r="2793" spans="1:12" ht="16.5" customHeight="1" x14ac:dyDescent="0.2">
      <c r="A2793" s="37"/>
      <c r="L2793" s="37"/>
    </row>
    <row r="2794" spans="1:12" ht="16.5" customHeight="1" x14ac:dyDescent="0.2">
      <c r="A2794" s="37"/>
      <c r="L2794" s="37"/>
    </row>
    <row r="2795" spans="1:12" ht="16.5" customHeight="1" x14ac:dyDescent="0.2">
      <c r="A2795" s="37"/>
      <c r="L2795" s="37"/>
    </row>
    <row r="2796" spans="1:12" ht="16.5" customHeight="1" x14ac:dyDescent="0.2">
      <c r="A2796" s="37"/>
      <c r="L2796" s="37"/>
    </row>
    <row r="2797" spans="1:12" ht="16.5" customHeight="1" x14ac:dyDescent="0.2">
      <c r="A2797" s="37"/>
      <c r="L2797" s="37"/>
    </row>
    <row r="2798" spans="1:12" ht="16.5" customHeight="1" x14ac:dyDescent="0.2">
      <c r="A2798" s="37"/>
      <c r="L2798" s="37"/>
    </row>
    <row r="2799" spans="1:12" ht="16.5" customHeight="1" x14ac:dyDescent="0.2">
      <c r="A2799" s="37"/>
      <c r="L2799" s="37"/>
    </row>
    <row r="2800" spans="1:12" ht="16.5" customHeight="1" x14ac:dyDescent="0.2">
      <c r="A2800" s="37"/>
      <c r="L2800" s="37"/>
    </row>
    <row r="2801" spans="1:12" ht="16.5" customHeight="1" x14ac:dyDescent="0.2">
      <c r="A2801" s="37"/>
      <c r="L2801" s="37"/>
    </row>
    <row r="2802" spans="1:12" ht="16.5" customHeight="1" x14ac:dyDescent="0.2">
      <c r="A2802" s="37"/>
      <c r="L2802" s="37"/>
    </row>
    <row r="2803" spans="1:12" ht="16.5" customHeight="1" x14ac:dyDescent="0.2">
      <c r="A2803" s="37"/>
      <c r="L2803" s="37"/>
    </row>
    <row r="2804" spans="1:12" ht="16.5" customHeight="1" x14ac:dyDescent="0.2">
      <c r="A2804" s="37"/>
      <c r="L2804" s="37"/>
    </row>
    <row r="2805" spans="1:12" ht="16.5" customHeight="1" x14ac:dyDescent="0.2">
      <c r="A2805" s="37"/>
      <c r="L2805" s="37"/>
    </row>
    <row r="2806" spans="1:12" ht="16.5" customHeight="1" x14ac:dyDescent="0.2">
      <c r="A2806" s="37"/>
      <c r="L2806" s="37"/>
    </row>
    <row r="2807" spans="1:12" ht="16.5" customHeight="1" x14ac:dyDescent="0.2">
      <c r="A2807" s="37"/>
      <c r="L2807" s="37"/>
    </row>
    <row r="2808" spans="1:12" ht="16.5" customHeight="1" x14ac:dyDescent="0.2">
      <c r="A2808" s="37"/>
      <c r="L2808" s="37"/>
    </row>
    <row r="2809" spans="1:12" ht="16.5" customHeight="1" x14ac:dyDescent="0.2">
      <c r="A2809" s="37"/>
      <c r="L2809" s="37"/>
    </row>
    <row r="2810" spans="1:12" ht="16.5" customHeight="1" x14ac:dyDescent="0.2">
      <c r="A2810" s="37"/>
      <c r="L2810" s="37"/>
    </row>
    <row r="2811" spans="1:12" ht="16.5" customHeight="1" x14ac:dyDescent="0.2">
      <c r="A2811" s="37"/>
      <c r="L2811" s="37"/>
    </row>
    <row r="2812" spans="1:12" ht="16.5" customHeight="1" x14ac:dyDescent="0.2">
      <c r="A2812" s="37"/>
      <c r="L2812" s="37"/>
    </row>
    <row r="2813" spans="1:12" ht="16.5" customHeight="1" x14ac:dyDescent="0.2">
      <c r="A2813" s="37"/>
      <c r="L2813" s="37"/>
    </row>
    <row r="2814" spans="1:12" ht="16.5" customHeight="1" x14ac:dyDescent="0.2">
      <c r="A2814" s="37"/>
      <c r="L2814" s="37"/>
    </row>
    <row r="2815" spans="1:12" ht="16.5" customHeight="1" x14ac:dyDescent="0.2">
      <c r="A2815" s="37"/>
      <c r="L2815" s="37"/>
    </row>
    <row r="2816" spans="1:12" ht="16.5" customHeight="1" x14ac:dyDescent="0.2">
      <c r="A2816" s="37"/>
      <c r="L2816" s="37"/>
    </row>
    <row r="2817" spans="1:12" ht="16.5" customHeight="1" x14ac:dyDescent="0.2">
      <c r="A2817" s="37"/>
      <c r="L2817" s="37"/>
    </row>
    <row r="2818" spans="1:12" ht="16.5" customHeight="1" x14ac:dyDescent="0.2">
      <c r="A2818" s="37"/>
      <c r="L2818" s="37"/>
    </row>
    <row r="2819" spans="1:12" ht="16.5" customHeight="1" x14ac:dyDescent="0.2">
      <c r="A2819" s="37"/>
      <c r="L2819" s="37"/>
    </row>
    <row r="2820" spans="1:12" ht="16.5" customHeight="1" x14ac:dyDescent="0.2">
      <c r="A2820" s="37"/>
      <c r="L2820" s="37"/>
    </row>
    <row r="2821" spans="1:12" ht="16.5" customHeight="1" x14ac:dyDescent="0.2">
      <c r="A2821" s="37"/>
      <c r="L2821" s="37"/>
    </row>
    <row r="2822" spans="1:12" ht="16.5" customHeight="1" x14ac:dyDescent="0.2">
      <c r="A2822" s="37"/>
      <c r="L2822" s="37"/>
    </row>
    <row r="2823" spans="1:12" ht="16.5" customHeight="1" x14ac:dyDescent="0.2">
      <c r="A2823" s="37"/>
      <c r="L2823" s="37"/>
    </row>
    <row r="2824" spans="1:12" ht="16.5" customHeight="1" x14ac:dyDescent="0.2">
      <c r="A2824" s="37"/>
      <c r="L2824" s="37"/>
    </row>
    <row r="2825" spans="1:12" ht="16.5" customHeight="1" x14ac:dyDescent="0.2">
      <c r="A2825" s="37"/>
      <c r="L2825" s="37"/>
    </row>
    <row r="2826" spans="1:12" ht="16.5" customHeight="1" x14ac:dyDescent="0.2">
      <c r="A2826" s="37"/>
      <c r="L2826" s="37"/>
    </row>
    <row r="2827" spans="1:12" ht="16.5" customHeight="1" x14ac:dyDescent="0.2">
      <c r="A2827" s="37"/>
      <c r="L2827" s="37"/>
    </row>
    <row r="2828" spans="1:12" ht="16.5" customHeight="1" x14ac:dyDescent="0.2">
      <c r="A2828" s="37"/>
      <c r="L2828" s="37"/>
    </row>
    <row r="2829" spans="1:12" ht="16.5" customHeight="1" x14ac:dyDescent="0.2">
      <c r="A2829" s="37"/>
      <c r="L2829" s="37"/>
    </row>
    <row r="2830" spans="1:12" ht="16.5" customHeight="1" x14ac:dyDescent="0.2">
      <c r="A2830" s="37"/>
      <c r="L2830" s="37"/>
    </row>
    <row r="2831" spans="1:12" ht="16.5" customHeight="1" x14ac:dyDescent="0.2">
      <c r="A2831" s="37"/>
      <c r="L2831" s="37"/>
    </row>
    <row r="2832" spans="1:12" ht="16.5" customHeight="1" x14ac:dyDescent="0.2">
      <c r="A2832" s="37"/>
      <c r="L2832" s="37"/>
    </row>
    <row r="2833" spans="1:12" ht="16.5" customHeight="1" x14ac:dyDescent="0.2">
      <c r="A2833" s="37"/>
      <c r="L2833" s="37"/>
    </row>
    <row r="2834" spans="1:12" ht="16.5" customHeight="1" x14ac:dyDescent="0.2">
      <c r="A2834" s="37"/>
      <c r="L2834" s="37"/>
    </row>
    <row r="2835" spans="1:12" ht="16.5" customHeight="1" x14ac:dyDescent="0.2">
      <c r="A2835" s="37"/>
      <c r="L2835" s="37"/>
    </row>
    <row r="2836" spans="1:12" ht="16.5" customHeight="1" x14ac:dyDescent="0.2">
      <c r="A2836" s="37"/>
      <c r="L2836" s="37"/>
    </row>
    <row r="2837" spans="1:12" ht="16.5" customHeight="1" x14ac:dyDescent="0.2">
      <c r="A2837" s="37"/>
      <c r="L2837" s="37"/>
    </row>
    <row r="2838" spans="1:12" ht="16.5" customHeight="1" x14ac:dyDescent="0.2">
      <c r="A2838" s="37"/>
      <c r="L2838" s="37"/>
    </row>
    <row r="2839" spans="1:12" ht="16.5" customHeight="1" x14ac:dyDescent="0.2">
      <c r="A2839" s="37"/>
      <c r="L2839" s="37"/>
    </row>
    <row r="2840" spans="1:12" ht="16.5" customHeight="1" x14ac:dyDescent="0.2">
      <c r="A2840" s="37"/>
      <c r="L2840" s="37"/>
    </row>
    <row r="2841" spans="1:12" ht="16.5" customHeight="1" x14ac:dyDescent="0.2">
      <c r="A2841" s="37"/>
      <c r="L2841" s="37"/>
    </row>
    <row r="2842" spans="1:12" ht="16.5" customHeight="1" x14ac:dyDescent="0.2">
      <c r="A2842" s="37"/>
      <c r="L2842" s="37"/>
    </row>
    <row r="2843" spans="1:12" ht="16.5" customHeight="1" x14ac:dyDescent="0.2">
      <c r="A2843" s="37"/>
      <c r="L2843" s="37"/>
    </row>
    <row r="2844" spans="1:12" ht="16.5" customHeight="1" x14ac:dyDescent="0.2">
      <c r="A2844" s="37"/>
      <c r="L2844" s="37"/>
    </row>
    <row r="2845" spans="1:12" ht="16.5" customHeight="1" x14ac:dyDescent="0.2">
      <c r="A2845" s="37"/>
      <c r="L2845" s="37"/>
    </row>
    <row r="2846" spans="1:12" ht="16.5" customHeight="1" x14ac:dyDescent="0.2">
      <c r="A2846" s="37"/>
      <c r="L2846" s="37"/>
    </row>
    <row r="2847" spans="1:12" ht="16.5" customHeight="1" x14ac:dyDescent="0.2">
      <c r="A2847" s="37"/>
      <c r="L2847" s="37"/>
    </row>
    <row r="2848" spans="1:12" ht="16.5" customHeight="1" x14ac:dyDescent="0.2">
      <c r="A2848" s="37"/>
      <c r="L2848" s="37"/>
    </row>
    <row r="2849" spans="1:12" ht="16.5" customHeight="1" x14ac:dyDescent="0.2">
      <c r="A2849" s="37"/>
      <c r="L2849" s="37"/>
    </row>
    <row r="2850" spans="1:12" ht="16.5" customHeight="1" x14ac:dyDescent="0.2">
      <c r="A2850" s="37"/>
      <c r="L2850" s="37"/>
    </row>
    <row r="2851" spans="1:12" ht="16.5" customHeight="1" x14ac:dyDescent="0.2">
      <c r="A2851" s="37"/>
      <c r="L2851" s="37"/>
    </row>
    <row r="2852" spans="1:12" ht="16.5" customHeight="1" x14ac:dyDescent="0.2">
      <c r="A2852" s="37"/>
      <c r="L2852" s="37"/>
    </row>
    <row r="2853" spans="1:12" ht="16.5" customHeight="1" x14ac:dyDescent="0.2">
      <c r="A2853" s="37"/>
      <c r="L2853" s="37"/>
    </row>
    <row r="2854" spans="1:12" ht="16.5" customHeight="1" x14ac:dyDescent="0.2">
      <c r="A2854" s="37"/>
      <c r="L2854" s="37"/>
    </row>
    <row r="2855" spans="1:12" ht="16.5" customHeight="1" x14ac:dyDescent="0.2">
      <c r="A2855" s="37"/>
      <c r="L2855" s="37"/>
    </row>
    <row r="2856" spans="1:12" ht="16.5" customHeight="1" x14ac:dyDescent="0.2">
      <c r="A2856" s="37"/>
      <c r="L2856" s="37"/>
    </row>
    <row r="2857" spans="1:12" ht="16.5" customHeight="1" x14ac:dyDescent="0.2">
      <c r="A2857" s="37"/>
      <c r="L2857" s="37"/>
    </row>
    <row r="2858" spans="1:12" ht="16.5" customHeight="1" x14ac:dyDescent="0.2">
      <c r="A2858" s="37"/>
      <c r="L2858" s="37"/>
    </row>
    <row r="2859" spans="1:12" ht="16.5" customHeight="1" x14ac:dyDescent="0.2">
      <c r="A2859" s="37"/>
      <c r="L2859" s="37"/>
    </row>
    <row r="2860" spans="1:12" ht="16.5" customHeight="1" x14ac:dyDescent="0.2">
      <c r="A2860" s="37"/>
      <c r="L2860" s="37"/>
    </row>
    <row r="2861" spans="1:12" ht="16.5" customHeight="1" x14ac:dyDescent="0.2">
      <c r="A2861" s="37"/>
      <c r="L2861" s="37"/>
    </row>
    <row r="2862" spans="1:12" ht="16.5" customHeight="1" x14ac:dyDescent="0.2">
      <c r="A2862" s="37"/>
      <c r="L2862" s="37"/>
    </row>
    <row r="2863" spans="1:12" ht="16.5" customHeight="1" x14ac:dyDescent="0.2">
      <c r="A2863" s="37"/>
      <c r="L2863" s="37"/>
    </row>
    <row r="2864" spans="1:12" ht="16.5" customHeight="1" x14ac:dyDescent="0.2">
      <c r="A2864" s="37"/>
      <c r="L2864" s="37"/>
    </row>
    <row r="2865" spans="1:12" ht="16.5" customHeight="1" x14ac:dyDescent="0.2">
      <c r="A2865" s="37"/>
      <c r="L2865" s="37"/>
    </row>
    <row r="2866" spans="1:12" ht="16.5" customHeight="1" x14ac:dyDescent="0.2">
      <c r="A2866" s="37"/>
      <c r="L2866" s="37"/>
    </row>
    <row r="2867" spans="1:12" ht="16.5" customHeight="1" x14ac:dyDescent="0.2">
      <c r="A2867" s="37"/>
      <c r="L2867" s="37"/>
    </row>
    <row r="2868" spans="1:12" ht="16.5" customHeight="1" x14ac:dyDescent="0.2">
      <c r="A2868" s="37"/>
      <c r="L2868" s="37"/>
    </row>
    <row r="2869" spans="1:12" ht="16.5" customHeight="1" x14ac:dyDescent="0.2">
      <c r="A2869" s="37"/>
      <c r="L2869" s="37"/>
    </row>
    <row r="2870" spans="1:12" ht="16.5" customHeight="1" x14ac:dyDescent="0.2">
      <c r="A2870" s="37"/>
      <c r="L2870" s="37"/>
    </row>
    <row r="2871" spans="1:12" ht="16.5" customHeight="1" x14ac:dyDescent="0.2">
      <c r="A2871" s="37"/>
      <c r="L2871" s="37"/>
    </row>
    <row r="2872" spans="1:12" ht="16.5" customHeight="1" x14ac:dyDescent="0.2">
      <c r="A2872" s="37"/>
      <c r="L2872" s="37"/>
    </row>
    <row r="2873" spans="1:12" ht="16.5" customHeight="1" x14ac:dyDescent="0.2">
      <c r="A2873" s="37"/>
      <c r="L2873" s="37"/>
    </row>
    <row r="2874" spans="1:12" ht="16.5" customHeight="1" x14ac:dyDescent="0.2">
      <c r="A2874" s="37"/>
      <c r="L2874" s="37"/>
    </row>
    <row r="2875" spans="1:12" ht="16.5" customHeight="1" x14ac:dyDescent="0.2">
      <c r="A2875" s="37"/>
      <c r="L2875" s="37"/>
    </row>
    <row r="2876" spans="1:12" ht="16.5" customHeight="1" x14ac:dyDescent="0.2">
      <c r="A2876" s="37"/>
      <c r="L2876" s="37"/>
    </row>
    <row r="2877" spans="1:12" ht="16.5" customHeight="1" x14ac:dyDescent="0.2">
      <c r="A2877" s="37"/>
      <c r="L2877" s="37"/>
    </row>
    <row r="2878" spans="1:12" ht="16.5" customHeight="1" x14ac:dyDescent="0.2">
      <c r="A2878" s="37"/>
      <c r="L2878" s="37"/>
    </row>
    <row r="2879" spans="1:12" ht="16.5" customHeight="1" x14ac:dyDescent="0.2">
      <c r="A2879" s="37"/>
      <c r="L2879" s="37"/>
    </row>
    <row r="2880" spans="1:12" ht="16.5" customHeight="1" x14ac:dyDescent="0.2">
      <c r="A2880" s="37"/>
      <c r="L2880" s="37"/>
    </row>
    <row r="2881" spans="1:12" ht="16.5" customHeight="1" x14ac:dyDescent="0.2">
      <c r="A2881" s="37"/>
      <c r="L2881" s="37"/>
    </row>
    <row r="2882" spans="1:12" ht="16.5" customHeight="1" x14ac:dyDescent="0.2">
      <c r="A2882" s="37"/>
      <c r="L2882" s="37"/>
    </row>
    <row r="2883" spans="1:12" ht="16.5" customHeight="1" x14ac:dyDescent="0.2">
      <c r="A2883" s="37"/>
      <c r="L2883" s="37"/>
    </row>
    <row r="2884" spans="1:12" ht="16.5" customHeight="1" x14ac:dyDescent="0.2">
      <c r="A2884" s="37"/>
      <c r="L2884" s="37"/>
    </row>
    <row r="2885" spans="1:12" ht="16.5" customHeight="1" x14ac:dyDescent="0.2">
      <c r="A2885" s="37"/>
      <c r="L2885" s="37"/>
    </row>
    <row r="2886" spans="1:12" ht="16.5" customHeight="1" x14ac:dyDescent="0.2">
      <c r="A2886" s="37"/>
      <c r="L2886" s="37"/>
    </row>
    <row r="2887" spans="1:12" ht="16.5" customHeight="1" x14ac:dyDescent="0.2">
      <c r="A2887" s="37"/>
      <c r="L2887" s="37"/>
    </row>
    <row r="2888" spans="1:12" ht="16.5" customHeight="1" x14ac:dyDescent="0.2">
      <c r="A2888" s="37"/>
      <c r="L2888" s="37"/>
    </row>
    <row r="2889" spans="1:12" ht="16.5" customHeight="1" x14ac:dyDescent="0.2">
      <c r="A2889" s="37"/>
      <c r="L2889" s="37"/>
    </row>
    <row r="2890" spans="1:12" ht="16.5" customHeight="1" x14ac:dyDescent="0.2">
      <c r="A2890" s="37"/>
      <c r="L2890" s="37"/>
    </row>
    <row r="2891" spans="1:12" ht="16.5" customHeight="1" x14ac:dyDescent="0.2">
      <c r="A2891" s="37"/>
      <c r="L2891" s="37"/>
    </row>
    <row r="2892" spans="1:12" ht="16.5" customHeight="1" x14ac:dyDescent="0.2">
      <c r="A2892" s="37"/>
      <c r="L2892" s="37"/>
    </row>
    <row r="2893" spans="1:12" ht="16.5" customHeight="1" x14ac:dyDescent="0.2">
      <c r="A2893" s="37"/>
      <c r="L2893" s="37"/>
    </row>
    <row r="2894" spans="1:12" ht="16.5" customHeight="1" x14ac:dyDescent="0.2">
      <c r="A2894" s="37"/>
      <c r="L2894" s="37"/>
    </row>
    <row r="2895" spans="1:12" ht="16.5" customHeight="1" x14ac:dyDescent="0.2">
      <c r="A2895" s="37"/>
      <c r="L2895" s="37"/>
    </row>
    <row r="2896" spans="1:12" ht="16.5" customHeight="1" x14ac:dyDescent="0.2">
      <c r="A2896" s="37"/>
      <c r="L2896" s="37"/>
    </row>
    <row r="2897" spans="1:12" ht="16.5" customHeight="1" x14ac:dyDescent="0.2">
      <c r="A2897" s="37"/>
      <c r="L2897" s="37"/>
    </row>
    <row r="2898" spans="1:12" ht="16.5" customHeight="1" x14ac:dyDescent="0.2">
      <c r="A2898" s="37"/>
      <c r="L2898" s="37"/>
    </row>
    <row r="2899" spans="1:12" ht="16.5" customHeight="1" x14ac:dyDescent="0.2">
      <c r="A2899" s="37"/>
      <c r="L2899" s="37"/>
    </row>
    <row r="2900" spans="1:12" ht="16.5" customHeight="1" x14ac:dyDescent="0.2">
      <c r="A2900" s="37"/>
      <c r="L2900" s="37"/>
    </row>
    <row r="2901" spans="1:12" ht="16.5" customHeight="1" x14ac:dyDescent="0.2">
      <c r="A2901" s="37"/>
      <c r="L2901" s="37"/>
    </row>
    <row r="2902" spans="1:12" ht="16.5" customHeight="1" x14ac:dyDescent="0.2">
      <c r="A2902" s="37"/>
      <c r="L2902" s="37"/>
    </row>
    <row r="2903" spans="1:12" ht="16.5" customHeight="1" x14ac:dyDescent="0.2">
      <c r="A2903" s="37"/>
      <c r="L2903" s="37"/>
    </row>
    <row r="2904" spans="1:12" ht="16.5" customHeight="1" x14ac:dyDescent="0.2">
      <c r="A2904" s="37"/>
      <c r="L2904" s="37"/>
    </row>
    <row r="2905" spans="1:12" ht="16.5" customHeight="1" x14ac:dyDescent="0.2">
      <c r="A2905" s="37"/>
      <c r="L2905" s="37"/>
    </row>
    <row r="2906" spans="1:12" ht="16.5" customHeight="1" x14ac:dyDescent="0.2">
      <c r="A2906" s="37"/>
      <c r="L2906" s="37"/>
    </row>
    <row r="2907" spans="1:12" ht="16.5" customHeight="1" x14ac:dyDescent="0.2">
      <c r="A2907" s="37"/>
      <c r="L2907" s="37"/>
    </row>
    <row r="2908" spans="1:12" ht="16.5" customHeight="1" x14ac:dyDescent="0.2">
      <c r="A2908" s="37"/>
      <c r="L2908" s="37"/>
    </row>
    <row r="2909" spans="1:12" ht="16.5" customHeight="1" x14ac:dyDescent="0.2">
      <c r="A2909" s="37"/>
      <c r="L2909" s="37"/>
    </row>
    <row r="2910" spans="1:12" ht="16.5" customHeight="1" x14ac:dyDescent="0.2">
      <c r="A2910" s="37"/>
      <c r="L2910" s="37"/>
    </row>
    <row r="2911" spans="1:12" ht="16.5" customHeight="1" x14ac:dyDescent="0.2">
      <c r="A2911" s="37"/>
      <c r="L2911" s="37"/>
    </row>
    <row r="2912" spans="1:12" ht="16.5" customHeight="1" x14ac:dyDescent="0.2">
      <c r="A2912" s="37"/>
      <c r="L2912" s="37"/>
    </row>
    <row r="2913" spans="1:12" ht="16.5" customHeight="1" x14ac:dyDescent="0.2">
      <c r="A2913" s="37"/>
      <c r="L2913" s="37"/>
    </row>
    <row r="2914" spans="1:12" ht="16.5" customHeight="1" x14ac:dyDescent="0.2">
      <c r="A2914" s="37"/>
      <c r="L2914" s="37"/>
    </row>
    <row r="2915" spans="1:12" ht="16.5" customHeight="1" x14ac:dyDescent="0.2">
      <c r="A2915" s="37"/>
      <c r="L2915" s="37"/>
    </row>
    <row r="2916" spans="1:12" ht="16.5" customHeight="1" x14ac:dyDescent="0.2">
      <c r="A2916" s="37"/>
      <c r="L2916" s="37"/>
    </row>
    <row r="2917" spans="1:12" ht="16.5" customHeight="1" x14ac:dyDescent="0.2">
      <c r="A2917" s="37"/>
      <c r="L2917" s="37"/>
    </row>
    <row r="2918" spans="1:12" ht="16.5" customHeight="1" x14ac:dyDescent="0.2">
      <c r="A2918" s="37"/>
      <c r="L2918" s="37"/>
    </row>
    <row r="2919" spans="1:12" ht="16.5" customHeight="1" x14ac:dyDescent="0.2">
      <c r="A2919" s="37"/>
      <c r="L2919" s="37"/>
    </row>
    <row r="2920" spans="1:12" ht="16.5" customHeight="1" x14ac:dyDescent="0.2">
      <c r="A2920" s="37"/>
      <c r="L2920" s="37"/>
    </row>
    <row r="2921" spans="1:12" ht="16.5" customHeight="1" x14ac:dyDescent="0.2">
      <c r="A2921" s="37"/>
      <c r="L2921" s="37"/>
    </row>
    <row r="2922" spans="1:12" ht="16.5" customHeight="1" x14ac:dyDescent="0.2">
      <c r="A2922" s="37"/>
      <c r="L2922" s="37"/>
    </row>
    <row r="2923" spans="1:12" ht="16.5" customHeight="1" x14ac:dyDescent="0.2">
      <c r="A2923" s="37"/>
      <c r="L2923" s="37"/>
    </row>
    <row r="2924" spans="1:12" ht="16.5" customHeight="1" x14ac:dyDescent="0.2">
      <c r="A2924" s="37"/>
      <c r="L2924" s="37"/>
    </row>
    <row r="2925" spans="1:12" ht="16.5" customHeight="1" x14ac:dyDescent="0.2">
      <c r="A2925" s="37"/>
      <c r="L2925" s="37"/>
    </row>
    <row r="2926" spans="1:12" ht="16.5" customHeight="1" x14ac:dyDescent="0.2">
      <c r="A2926" s="37"/>
      <c r="L2926" s="37"/>
    </row>
    <row r="2927" spans="1:12" ht="16.5" customHeight="1" x14ac:dyDescent="0.2">
      <c r="A2927" s="37"/>
      <c r="L2927" s="37"/>
    </row>
    <row r="2928" spans="1:12" ht="16.5" customHeight="1" x14ac:dyDescent="0.2">
      <c r="A2928" s="37"/>
      <c r="L2928" s="37"/>
    </row>
    <row r="2929" spans="1:12" ht="16.5" customHeight="1" x14ac:dyDescent="0.2">
      <c r="A2929" s="37"/>
      <c r="L2929" s="37"/>
    </row>
    <row r="2930" spans="1:12" ht="16.5" customHeight="1" x14ac:dyDescent="0.2">
      <c r="A2930" s="37"/>
      <c r="L2930" s="37"/>
    </row>
    <row r="2931" spans="1:12" ht="16.5" customHeight="1" x14ac:dyDescent="0.2">
      <c r="A2931" s="37"/>
      <c r="L2931" s="37"/>
    </row>
    <row r="2932" spans="1:12" ht="16.5" customHeight="1" x14ac:dyDescent="0.2">
      <c r="A2932" s="37"/>
      <c r="L2932" s="37"/>
    </row>
    <row r="2933" spans="1:12" ht="16.5" customHeight="1" x14ac:dyDescent="0.2">
      <c r="A2933" s="37"/>
      <c r="L2933" s="37"/>
    </row>
    <row r="2934" spans="1:12" ht="16.5" customHeight="1" x14ac:dyDescent="0.2">
      <c r="A2934" s="37"/>
      <c r="L2934" s="37"/>
    </row>
    <row r="2935" spans="1:12" ht="16.5" customHeight="1" x14ac:dyDescent="0.2">
      <c r="A2935" s="37"/>
      <c r="L2935" s="37"/>
    </row>
    <row r="2936" spans="1:12" ht="16.5" customHeight="1" x14ac:dyDescent="0.2">
      <c r="A2936" s="37"/>
      <c r="L2936" s="37"/>
    </row>
    <row r="2937" spans="1:12" ht="16.5" customHeight="1" x14ac:dyDescent="0.2">
      <c r="A2937" s="37"/>
      <c r="L2937" s="37"/>
    </row>
    <row r="2938" spans="1:12" ht="16.5" customHeight="1" x14ac:dyDescent="0.2">
      <c r="A2938" s="37"/>
      <c r="L2938" s="37"/>
    </row>
    <row r="2939" spans="1:12" ht="16.5" customHeight="1" x14ac:dyDescent="0.2">
      <c r="A2939" s="37"/>
      <c r="L2939" s="37"/>
    </row>
    <row r="2940" spans="1:12" ht="16.5" customHeight="1" x14ac:dyDescent="0.2">
      <c r="A2940" s="37"/>
      <c r="L2940" s="37"/>
    </row>
    <row r="2941" spans="1:12" ht="16.5" customHeight="1" x14ac:dyDescent="0.2">
      <c r="A2941" s="37"/>
      <c r="L2941" s="37"/>
    </row>
    <row r="2942" spans="1:12" ht="16.5" customHeight="1" x14ac:dyDescent="0.2">
      <c r="A2942" s="37"/>
      <c r="L2942" s="37"/>
    </row>
    <row r="2943" spans="1:12" ht="16.5" customHeight="1" x14ac:dyDescent="0.2">
      <c r="A2943" s="37"/>
      <c r="L2943" s="37"/>
    </row>
    <row r="2944" spans="1:12" ht="16.5" customHeight="1" x14ac:dyDescent="0.2">
      <c r="A2944" s="37"/>
      <c r="L2944" s="37"/>
    </row>
    <row r="2945" spans="1:12" ht="16.5" customHeight="1" x14ac:dyDescent="0.2">
      <c r="A2945" s="37"/>
      <c r="L2945" s="37"/>
    </row>
    <row r="2946" spans="1:12" ht="16.5" customHeight="1" x14ac:dyDescent="0.2">
      <c r="A2946" s="37"/>
      <c r="L2946" s="37"/>
    </row>
    <row r="2947" spans="1:12" ht="16.5" customHeight="1" x14ac:dyDescent="0.2">
      <c r="A2947" s="37"/>
      <c r="L2947" s="37"/>
    </row>
    <row r="2948" spans="1:12" ht="16.5" customHeight="1" x14ac:dyDescent="0.2">
      <c r="A2948" s="37"/>
      <c r="L2948" s="37"/>
    </row>
    <row r="2949" spans="1:12" ht="16.5" customHeight="1" x14ac:dyDescent="0.2">
      <c r="A2949" s="37"/>
      <c r="L2949" s="37"/>
    </row>
    <row r="2950" spans="1:12" ht="16.5" customHeight="1" x14ac:dyDescent="0.2">
      <c r="A2950" s="37"/>
      <c r="L2950" s="37"/>
    </row>
    <row r="2951" spans="1:12" ht="16.5" customHeight="1" x14ac:dyDescent="0.2">
      <c r="A2951" s="37"/>
      <c r="L2951" s="37"/>
    </row>
    <row r="2952" spans="1:12" ht="16.5" customHeight="1" x14ac:dyDescent="0.2">
      <c r="A2952" s="37"/>
      <c r="L2952" s="37"/>
    </row>
    <row r="2953" spans="1:12" ht="16.5" customHeight="1" x14ac:dyDescent="0.2">
      <c r="A2953" s="37"/>
      <c r="L2953" s="37"/>
    </row>
    <row r="2954" spans="1:12" ht="16.5" customHeight="1" x14ac:dyDescent="0.2">
      <c r="A2954" s="37"/>
      <c r="L2954" s="37"/>
    </row>
    <row r="2955" spans="1:12" ht="16.5" customHeight="1" x14ac:dyDescent="0.2">
      <c r="A2955" s="37"/>
      <c r="L2955" s="37"/>
    </row>
    <row r="2956" spans="1:12" ht="16.5" customHeight="1" x14ac:dyDescent="0.2">
      <c r="A2956" s="37"/>
      <c r="L2956" s="37"/>
    </row>
    <row r="2957" spans="1:12" ht="16.5" customHeight="1" x14ac:dyDescent="0.2">
      <c r="A2957" s="37"/>
      <c r="L2957" s="37"/>
    </row>
    <row r="2958" spans="1:12" ht="16.5" customHeight="1" x14ac:dyDescent="0.2">
      <c r="A2958" s="37"/>
      <c r="L2958" s="37"/>
    </row>
    <row r="2959" spans="1:12" ht="16.5" customHeight="1" x14ac:dyDescent="0.2">
      <c r="A2959" s="37"/>
      <c r="L2959" s="37"/>
    </row>
    <row r="2960" spans="1:12" ht="16.5" customHeight="1" x14ac:dyDescent="0.2">
      <c r="A2960" s="37"/>
      <c r="L2960" s="37"/>
    </row>
    <row r="2961" spans="1:12" ht="16.5" customHeight="1" x14ac:dyDescent="0.2">
      <c r="A2961" s="37"/>
      <c r="L2961" s="37"/>
    </row>
    <row r="2962" spans="1:12" ht="16.5" customHeight="1" x14ac:dyDescent="0.2">
      <c r="A2962" s="37"/>
      <c r="L2962" s="37"/>
    </row>
    <row r="2963" spans="1:12" ht="16.5" customHeight="1" x14ac:dyDescent="0.2">
      <c r="A2963" s="37"/>
      <c r="L2963" s="37"/>
    </row>
    <row r="2964" spans="1:12" ht="16.5" customHeight="1" x14ac:dyDescent="0.2">
      <c r="A2964" s="37"/>
      <c r="L2964" s="37"/>
    </row>
    <row r="2965" spans="1:12" ht="16.5" customHeight="1" x14ac:dyDescent="0.2">
      <c r="A2965" s="37"/>
      <c r="L2965" s="37"/>
    </row>
    <row r="2966" spans="1:12" ht="16.5" customHeight="1" x14ac:dyDescent="0.2">
      <c r="A2966" s="37"/>
      <c r="L2966" s="37"/>
    </row>
    <row r="2967" spans="1:12" ht="16.5" customHeight="1" x14ac:dyDescent="0.2">
      <c r="A2967" s="37"/>
      <c r="L2967" s="37"/>
    </row>
    <row r="2968" spans="1:12" ht="16.5" customHeight="1" x14ac:dyDescent="0.2">
      <c r="A2968" s="37"/>
      <c r="L2968" s="37"/>
    </row>
    <row r="2969" spans="1:12" ht="16.5" customHeight="1" x14ac:dyDescent="0.2">
      <c r="A2969" s="37"/>
      <c r="L2969" s="37"/>
    </row>
    <row r="2970" spans="1:12" ht="16.5" customHeight="1" x14ac:dyDescent="0.2">
      <c r="A2970" s="37"/>
      <c r="L2970" s="37"/>
    </row>
    <row r="2971" spans="1:12" ht="16.5" customHeight="1" x14ac:dyDescent="0.2">
      <c r="A2971" s="37"/>
      <c r="L2971" s="37"/>
    </row>
    <row r="2972" spans="1:12" ht="16.5" customHeight="1" x14ac:dyDescent="0.2">
      <c r="A2972" s="37"/>
      <c r="L2972" s="37"/>
    </row>
    <row r="2973" spans="1:12" ht="16.5" customHeight="1" x14ac:dyDescent="0.2">
      <c r="A2973" s="37"/>
      <c r="L2973" s="37"/>
    </row>
    <row r="2974" spans="1:12" ht="16.5" customHeight="1" x14ac:dyDescent="0.2">
      <c r="A2974" s="37"/>
      <c r="L2974" s="37"/>
    </row>
    <row r="2975" spans="1:12" ht="16.5" customHeight="1" x14ac:dyDescent="0.2">
      <c r="A2975" s="37"/>
      <c r="L2975" s="37"/>
    </row>
    <row r="2976" spans="1:12" ht="16.5" customHeight="1" x14ac:dyDescent="0.2">
      <c r="A2976" s="37"/>
      <c r="L2976" s="37"/>
    </row>
    <row r="2977" spans="1:12" ht="16.5" customHeight="1" x14ac:dyDescent="0.2">
      <c r="A2977" s="37"/>
      <c r="L2977" s="37"/>
    </row>
    <row r="2978" spans="1:12" ht="16.5" customHeight="1" x14ac:dyDescent="0.2">
      <c r="A2978" s="37"/>
      <c r="L2978" s="37"/>
    </row>
    <row r="2979" spans="1:12" ht="16.5" customHeight="1" x14ac:dyDescent="0.2">
      <c r="A2979" s="37"/>
      <c r="L2979" s="37"/>
    </row>
    <row r="2980" spans="1:12" ht="16.5" customHeight="1" x14ac:dyDescent="0.2">
      <c r="A2980" s="37"/>
      <c r="L2980" s="37"/>
    </row>
    <row r="2981" spans="1:12" ht="16.5" customHeight="1" x14ac:dyDescent="0.2">
      <c r="A2981" s="37"/>
      <c r="L2981" s="37"/>
    </row>
    <row r="2982" spans="1:12" ht="16.5" customHeight="1" x14ac:dyDescent="0.2">
      <c r="A2982" s="37"/>
      <c r="L2982" s="37"/>
    </row>
    <row r="2983" spans="1:12" ht="16.5" customHeight="1" x14ac:dyDescent="0.2">
      <c r="A2983" s="37"/>
      <c r="L2983" s="37"/>
    </row>
    <row r="2984" spans="1:12" ht="16.5" customHeight="1" x14ac:dyDescent="0.2">
      <c r="A2984" s="37"/>
      <c r="L2984" s="37"/>
    </row>
    <row r="2985" spans="1:12" ht="16.5" customHeight="1" x14ac:dyDescent="0.2">
      <c r="A2985" s="37"/>
      <c r="L2985" s="37"/>
    </row>
    <row r="2986" spans="1:12" ht="16.5" customHeight="1" x14ac:dyDescent="0.2">
      <c r="A2986" s="37"/>
      <c r="L2986" s="37"/>
    </row>
    <row r="2987" spans="1:12" ht="16.5" customHeight="1" x14ac:dyDescent="0.2">
      <c r="A2987" s="37"/>
      <c r="L2987" s="37"/>
    </row>
    <row r="2988" spans="1:12" ht="16.5" customHeight="1" x14ac:dyDescent="0.2">
      <c r="A2988" s="37"/>
      <c r="L2988" s="37"/>
    </row>
    <row r="2989" spans="1:12" ht="16.5" customHeight="1" x14ac:dyDescent="0.2">
      <c r="A2989" s="37"/>
      <c r="L2989" s="37"/>
    </row>
    <row r="2990" spans="1:12" ht="16.5" customHeight="1" x14ac:dyDescent="0.2">
      <c r="A2990" s="37"/>
      <c r="L2990" s="37"/>
    </row>
    <row r="2991" spans="1:12" ht="16.5" customHeight="1" x14ac:dyDescent="0.2">
      <c r="A2991" s="37"/>
      <c r="L2991" s="37"/>
    </row>
    <row r="2992" spans="1:12" ht="16.5" customHeight="1" x14ac:dyDescent="0.2">
      <c r="A2992" s="37"/>
      <c r="L2992" s="37"/>
    </row>
    <row r="2993" spans="1:12" ht="16.5" customHeight="1" x14ac:dyDescent="0.2">
      <c r="A2993" s="37"/>
      <c r="L2993" s="37"/>
    </row>
    <row r="2994" spans="1:12" ht="16.5" customHeight="1" x14ac:dyDescent="0.2">
      <c r="A2994" s="37"/>
      <c r="L2994" s="37"/>
    </row>
    <row r="2995" spans="1:12" ht="16.5" customHeight="1" x14ac:dyDescent="0.2">
      <c r="A2995" s="37"/>
      <c r="L2995" s="37"/>
    </row>
    <row r="2996" spans="1:12" ht="16.5" customHeight="1" x14ac:dyDescent="0.2">
      <c r="A2996" s="37"/>
      <c r="L2996" s="37"/>
    </row>
    <row r="2997" spans="1:12" ht="16.5" customHeight="1" x14ac:dyDescent="0.2">
      <c r="A2997" s="37"/>
      <c r="L2997" s="37"/>
    </row>
    <row r="2998" spans="1:12" ht="16.5" customHeight="1" x14ac:dyDescent="0.2">
      <c r="A2998" s="37"/>
      <c r="L2998" s="37"/>
    </row>
    <row r="2999" spans="1:12" ht="16.5" customHeight="1" x14ac:dyDescent="0.2">
      <c r="A2999" s="37"/>
      <c r="L2999" s="37"/>
    </row>
    <row r="3000" spans="1:12" ht="16.5" customHeight="1" x14ac:dyDescent="0.2">
      <c r="A3000" s="37"/>
      <c r="L3000" s="37"/>
    </row>
    <row r="3001" spans="1:12" ht="16.5" customHeight="1" x14ac:dyDescent="0.2">
      <c r="A3001" s="37"/>
      <c r="L3001" s="37"/>
    </row>
    <row r="3002" spans="1:12" ht="16.5" customHeight="1" x14ac:dyDescent="0.2">
      <c r="A3002" s="37"/>
      <c r="L3002" s="37"/>
    </row>
    <row r="3003" spans="1:12" ht="16.5" customHeight="1" x14ac:dyDescent="0.2">
      <c r="A3003" s="37"/>
      <c r="L3003" s="37"/>
    </row>
    <row r="3004" spans="1:12" ht="16.5" customHeight="1" x14ac:dyDescent="0.2">
      <c r="A3004" s="37"/>
      <c r="L3004" s="37"/>
    </row>
    <row r="3005" spans="1:12" ht="16.5" customHeight="1" x14ac:dyDescent="0.2">
      <c r="A3005" s="37"/>
      <c r="L3005" s="37"/>
    </row>
    <row r="3006" spans="1:12" ht="16.5" customHeight="1" x14ac:dyDescent="0.2">
      <c r="A3006" s="37"/>
      <c r="L3006" s="37"/>
    </row>
    <row r="3007" spans="1:12" ht="16.5" customHeight="1" x14ac:dyDescent="0.2">
      <c r="A3007" s="37"/>
      <c r="L3007" s="37"/>
    </row>
    <row r="3008" spans="1:12" ht="16.5" customHeight="1" x14ac:dyDescent="0.2">
      <c r="A3008" s="37"/>
      <c r="L3008" s="37"/>
    </row>
    <row r="3009" spans="1:12" ht="16.5" customHeight="1" x14ac:dyDescent="0.2">
      <c r="A3009" s="37"/>
      <c r="L3009" s="37"/>
    </row>
    <row r="3010" spans="1:12" ht="16.5" customHeight="1" x14ac:dyDescent="0.2">
      <c r="A3010" s="37"/>
      <c r="L3010" s="37"/>
    </row>
    <row r="3011" spans="1:12" ht="16.5" customHeight="1" x14ac:dyDescent="0.2">
      <c r="A3011" s="37"/>
      <c r="L3011" s="37"/>
    </row>
    <row r="3012" spans="1:12" ht="16.5" customHeight="1" x14ac:dyDescent="0.2">
      <c r="A3012" s="37"/>
      <c r="L3012" s="37"/>
    </row>
    <row r="3013" spans="1:12" ht="16.5" customHeight="1" x14ac:dyDescent="0.2">
      <c r="A3013" s="37"/>
      <c r="L3013" s="37"/>
    </row>
    <row r="3014" spans="1:12" ht="16.5" customHeight="1" x14ac:dyDescent="0.2">
      <c r="A3014" s="37"/>
      <c r="L3014" s="37"/>
    </row>
    <row r="3015" spans="1:12" ht="16.5" customHeight="1" x14ac:dyDescent="0.2">
      <c r="A3015" s="37"/>
      <c r="L3015" s="37"/>
    </row>
    <row r="3016" spans="1:12" ht="16.5" customHeight="1" x14ac:dyDescent="0.2">
      <c r="A3016" s="37"/>
      <c r="L3016" s="37"/>
    </row>
    <row r="3017" spans="1:12" ht="16.5" customHeight="1" x14ac:dyDescent="0.2">
      <c r="A3017" s="37"/>
      <c r="L3017" s="37"/>
    </row>
    <row r="3018" spans="1:12" ht="16.5" customHeight="1" x14ac:dyDescent="0.2">
      <c r="A3018" s="37"/>
      <c r="L3018" s="37"/>
    </row>
    <row r="3019" spans="1:12" ht="16.5" customHeight="1" x14ac:dyDescent="0.2">
      <c r="A3019" s="37"/>
      <c r="L3019" s="37"/>
    </row>
    <row r="3020" spans="1:12" ht="16.5" customHeight="1" x14ac:dyDescent="0.2">
      <c r="A3020" s="37"/>
      <c r="L3020" s="37"/>
    </row>
    <row r="3021" spans="1:12" ht="16.5" customHeight="1" x14ac:dyDescent="0.2">
      <c r="A3021" s="37"/>
      <c r="L3021" s="37"/>
    </row>
    <row r="3022" spans="1:12" ht="16.5" customHeight="1" x14ac:dyDescent="0.2">
      <c r="A3022" s="37"/>
      <c r="L3022" s="37"/>
    </row>
    <row r="3023" spans="1:12" ht="16.5" customHeight="1" x14ac:dyDescent="0.2">
      <c r="A3023" s="37"/>
      <c r="L3023" s="37"/>
    </row>
    <row r="3024" spans="1:12" ht="16.5" customHeight="1" x14ac:dyDescent="0.2">
      <c r="A3024" s="37"/>
      <c r="L3024" s="37"/>
    </row>
    <row r="3025" spans="1:12" ht="16.5" customHeight="1" x14ac:dyDescent="0.2">
      <c r="A3025" s="37"/>
      <c r="L3025" s="37"/>
    </row>
    <row r="3026" spans="1:12" ht="16.5" customHeight="1" x14ac:dyDescent="0.2">
      <c r="A3026" s="37"/>
      <c r="L3026" s="37"/>
    </row>
    <row r="3027" spans="1:12" ht="16.5" customHeight="1" x14ac:dyDescent="0.2">
      <c r="A3027" s="37"/>
      <c r="L3027" s="37"/>
    </row>
    <row r="3028" spans="1:12" ht="16.5" customHeight="1" x14ac:dyDescent="0.2">
      <c r="A3028" s="37"/>
      <c r="L3028" s="37"/>
    </row>
    <row r="3029" spans="1:12" ht="16.5" customHeight="1" x14ac:dyDescent="0.2">
      <c r="A3029" s="37"/>
      <c r="L3029" s="37"/>
    </row>
    <row r="3030" spans="1:12" ht="16.5" customHeight="1" x14ac:dyDescent="0.2">
      <c r="A3030" s="37"/>
      <c r="L3030" s="37"/>
    </row>
    <row r="3031" spans="1:12" ht="16.5" customHeight="1" x14ac:dyDescent="0.2">
      <c r="A3031" s="37"/>
      <c r="L3031" s="37"/>
    </row>
    <row r="3032" spans="1:12" ht="16.5" customHeight="1" x14ac:dyDescent="0.2">
      <c r="A3032" s="37"/>
      <c r="L3032" s="37"/>
    </row>
    <row r="3033" spans="1:12" ht="16.5" customHeight="1" x14ac:dyDescent="0.2">
      <c r="A3033" s="37"/>
      <c r="L3033" s="37"/>
    </row>
    <row r="3034" spans="1:12" ht="16.5" customHeight="1" x14ac:dyDescent="0.2">
      <c r="A3034" s="37"/>
      <c r="L3034" s="37"/>
    </row>
    <row r="3035" spans="1:12" ht="16.5" customHeight="1" x14ac:dyDescent="0.2">
      <c r="A3035" s="37"/>
      <c r="L3035" s="37"/>
    </row>
    <row r="3036" spans="1:12" ht="16.5" customHeight="1" x14ac:dyDescent="0.2">
      <c r="A3036" s="37"/>
      <c r="L3036" s="37"/>
    </row>
    <row r="3037" spans="1:12" ht="16.5" customHeight="1" x14ac:dyDescent="0.2">
      <c r="A3037" s="37"/>
      <c r="L3037" s="37"/>
    </row>
    <row r="3038" spans="1:12" ht="16.5" customHeight="1" x14ac:dyDescent="0.2">
      <c r="A3038" s="37"/>
      <c r="L3038" s="37"/>
    </row>
    <row r="3039" spans="1:12" ht="16.5" customHeight="1" x14ac:dyDescent="0.2">
      <c r="A3039" s="37"/>
      <c r="L3039" s="37"/>
    </row>
    <row r="3040" spans="1:12" ht="16.5" customHeight="1" x14ac:dyDescent="0.2">
      <c r="A3040" s="37"/>
      <c r="L3040" s="37"/>
    </row>
    <row r="3041" spans="1:12" ht="16.5" customHeight="1" x14ac:dyDescent="0.2">
      <c r="A3041" s="37"/>
      <c r="L3041" s="37"/>
    </row>
    <row r="3042" spans="1:12" ht="16.5" customHeight="1" x14ac:dyDescent="0.2">
      <c r="A3042" s="37"/>
      <c r="L3042" s="37"/>
    </row>
    <row r="3043" spans="1:12" ht="16.5" customHeight="1" x14ac:dyDescent="0.2">
      <c r="A3043" s="37"/>
      <c r="L3043" s="37"/>
    </row>
    <row r="3044" spans="1:12" ht="16.5" customHeight="1" x14ac:dyDescent="0.2">
      <c r="A3044" s="37"/>
      <c r="L3044" s="37"/>
    </row>
    <row r="3045" spans="1:12" ht="16.5" customHeight="1" x14ac:dyDescent="0.2">
      <c r="A3045" s="37"/>
      <c r="L3045" s="37"/>
    </row>
    <row r="3046" spans="1:12" ht="16.5" customHeight="1" x14ac:dyDescent="0.2">
      <c r="A3046" s="37"/>
      <c r="L3046" s="37"/>
    </row>
    <row r="3047" spans="1:12" ht="16.5" customHeight="1" x14ac:dyDescent="0.2">
      <c r="A3047" s="37"/>
      <c r="L3047" s="37"/>
    </row>
    <row r="3048" spans="1:12" ht="16.5" customHeight="1" x14ac:dyDescent="0.2">
      <c r="A3048" s="37"/>
      <c r="L3048" s="37"/>
    </row>
    <row r="3049" spans="1:12" ht="16.5" customHeight="1" x14ac:dyDescent="0.2">
      <c r="A3049" s="37"/>
      <c r="L3049" s="37"/>
    </row>
    <row r="3050" spans="1:12" ht="16.5" customHeight="1" x14ac:dyDescent="0.2">
      <c r="A3050" s="37"/>
      <c r="L3050" s="37"/>
    </row>
    <row r="3051" spans="1:12" ht="16.5" customHeight="1" x14ac:dyDescent="0.2">
      <c r="A3051" s="37"/>
      <c r="L3051" s="37"/>
    </row>
    <row r="3052" spans="1:12" ht="16.5" customHeight="1" x14ac:dyDescent="0.2">
      <c r="A3052" s="37"/>
      <c r="L3052" s="37"/>
    </row>
    <row r="3053" spans="1:12" ht="16.5" customHeight="1" x14ac:dyDescent="0.2">
      <c r="A3053" s="37"/>
      <c r="L3053" s="37"/>
    </row>
    <row r="3054" spans="1:12" ht="16.5" customHeight="1" x14ac:dyDescent="0.2">
      <c r="A3054" s="37"/>
      <c r="L3054" s="37"/>
    </row>
    <row r="3055" spans="1:12" ht="16.5" customHeight="1" x14ac:dyDescent="0.2">
      <c r="A3055" s="37"/>
      <c r="L3055" s="37"/>
    </row>
    <row r="3056" spans="1:12" ht="16.5" customHeight="1" x14ac:dyDescent="0.2">
      <c r="A3056" s="37"/>
      <c r="L3056" s="37"/>
    </row>
    <row r="3057" spans="1:12" ht="16.5" customHeight="1" x14ac:dyDescent="0.2">
      <c r="A3057" s="37"/>
      <c r="L3057" s="37"/>
    </row>
    <row r="3058" spans="1:12" ht="16.5" customHeight="1" x14ac:dyDescent="0.2">
      <c r="A3058" s="37"/>
      <c r="L3058" s="37"/>
    </row>
    <row r="3059" spans="1:12" ht="16.5" customHeight="1" x14ac:dyDescent="0.2">
      <c r="A3059" s="37"/>
      <c r="L3059" s="37"/>
    </row>
    <row r="3060" spans="1:12" ht="16.5" customHeight="1" x14ac:dyDescent="0.2">
      <c r="A3060" s="37"/>
      <c r="L3060" s="37"/>
    </row>
    <row r="3061" spans="1:12" ht="16.5" customHeight="1" x14ac:dyDescent="0.2">
      <c r="A3061" s="37"/>
      <c r="L3061" s="37"/>
    </row>
    <row r="3062" spans="1:12" ht="16.5" customHeight="1" x14ac:dyDescent="0.2">
      <c r="A3062" s="37"/>
      <c r="L3062" s="37"/>
    </row>
    <row r="3063" spans="1:12" ht="16.5" customHeight="1" x14ac:dyDescent="0.2">
      <c r="A3063" s="37"/>
      <c r="L3063" s="37"/>
    </row>
    <row r="3064" spans="1:12" ht="16.5" customHeight="1" x14ac:dyDescent="0.2">
      <c r="A3064" s="37"/>
      <c r="L3064" s="37"/>
    </row>
    <row r="3065" spans="1:12" ht="16.5" customHeight="1" x14ac:dyDescent="0.2">
      <c r="A3065" s="37"/>
      <c r="L3065" s="37"/>
    </row>
    <row r="3066" spans="1:12" ht="16.5" customHeight="1" x14ac:dyDescent="0.2">
      <c r="A3066" s="37"/>
      <c r="L3066" s="37"/>
    </row>
    <row r="3067" spans="1:12" ht="16.5" customHeight="1" x14ac:dyDescent="0.2">
      <c r="A3067" s="37"/>
      <c r="L3067" s="37"/>
    </row>
    <row r="3068" spans="1:12" ht="16.5" customHeight="1" x14ac:dyDescent="0.2">
      <c r="A3068" s="37"/>
      <c r="L3068" s="37"/>
    </row>
    <row r="3069" spans="1:12" ht="16.5" customHeight="1" x14ac:dyDescent="0.2">
      <c r="A3069" s="37"/>
      <c r="L3069" s="37"/>
    </row>
    <row r="3070" spans="1:12" ht="16.5" customHeight="1" x14ac:dyDescent="0.2">
      <c r="A3070" s="37"/>
      <c r="L3070" s="37"/>
    </row>
    <row r="3071" spans="1:12" ht="16.5" customHeight="1" x14ac:dyDescent="0.2">
      <c r="A3071" s="37"/>
      <c r="L3071" s="37"/>
    </row>
    <row r="3072" spans="1:12" ht="16.5" customHeight="1" x14ac:dyDescent="0.2">
      <c r="A3072" s="37"/>
      <c r="L3072" s="37"/>
    </row>
    <row r="3073" spans="1:12" ht="16.5" customHeight="1" x14ac:dyDescent="0.2">
      <c r="A3073" s="37"/>
      <c r="L3073" s="37"/>
    </row>
    <row r="3074" spans="1:12" ht="16.5" customHeight="1" x14ac:dyDescent="0.2">
      <c r="A3074" s="37"/>
      <c r="L3074" s="37"/>
    </row>
    <row r="3075" spans="1:12" ht="16.5" customHeight="1" x14ac:dyDescent="0.2">
      <c r="A3075" s="37"/>
      <c r="L3075" s="37"/>
    </row>
    <row r="3076" spans="1:12" ht="16.5" customHeight="1" x14ac:dyDescent="0.2">
      <c r="A3076" s="37"/>
      <c r="L3076" s="37"/>
    </row>
    <row r="3077" spans="1:12" ht="16.5" customHeight="1" x14ac:dyDescent="0.2">
      <c r="A3077" s="37"/>
      <c r="L3077" s="37"/>
    </row>
    <row r="3078" spans="1:12" ht="16.5" customHeight="1" x14ac:dyDescent="0.2">
      <c r="A3078" s="37"/>
      <c r="L3078" s="37"/>
    </row>
    <row r="3079" spans="1:12" ht="16.5" customHeight="1" x14ac:dyDescent="0.2">
      <c r="A3079" s="37"/>
      <c r="L3079" s="37"/>
    </row>
    <row r="3080" spans="1:12" ht="16.5" customHeight="1" x14ac:dyDescent="0.2">
      <c r="A3080" s="37"/>
      <c r="L3080" s="37"/>
    </row>
    <row r="3081" spans="1:12" ht="16.5" customHeight="1" x14ac:dyDescent="0.2">
      <c r="A3081" s="37"/>
      <c r="L3081" s="37"/>
    </row>
    <row r="3082" spans="1:12" ht="16.5" customHeight="1" x14ac:dyDescent="0.2">
      <c r="A3082" s="37"/>
      <c r="L3082" s="37"/>
    </row>
    <row r="3083" spans="1:12" ht="16.5" customHeight="1" x14ac:dyDescent="0.2">
      <c r="A3083" s="37"/>
      <c r="L3083" s="37"/>
    </row>
    <row r="3084" spans="1:12" ht="16.5" customHeight="1" x14ac:dyDescent="0.2">
      <c r="A3084" s="37"/>
      <c r="L3084" s="37"/>
    </row>
    <row r="3085" spans="1:12" ht="16.5" customHeight="1" x14ac:dyDescent="0.2">
      <c r="A3085" s="37"/>
      <c r="L3085" s="37"/>
    </row>
    <row r="3086" spans="1:12" ht="16.5" customHeight="1" x14ac:dyDescent="0.2">
      <c r="A3086" s="37"/>
      <c r="L3086" s="37"/>
    </row>
    <row r="3087" spans="1:12" ht="16.5" customHeight="1" x14ac:dyDescent="0.2">
      <c r="A3087" s="37"/>
      <c r="L3087" s="37"/>
    </row>
    <row r="3088" spans="1:12" ht="16.5" customHeight="1" x14ac:dyDescent="0.2">
      <c r="A3088" s="37"/>
      <c r="L3088" s="37"/>
    </row>
    <row r="3089" spans="1:12" ht="16.5" customHeight="1" x14ac:dyDescent="0.2">
      <c r="A3089" s="37"/>
      <c r="L3089" s="37"/>
    </row>
    <row r="3090" spans="1:12" ht="16.5" customHeight="1" x14ac:dyDescent="0.2">
      <c r="A3090" s="37"/>
      <c r="L3090" s="37"/>
    </row>
    <row r="3091" spans="1:12" ht="16.5" customHeight="1" x14ac:dyDescent="0.2">
      <c r="A3091" s="37"/>
      <c r="L3091" s="37"/>
    </row>
    <row r="3092" spans="1:12" ht="16.5" customHeight="1" x14ac:dyDescent="0.2">
      <c r="A3092" s="37"/>
      <c r="L3092" s="37"/>
    </row>
    <row r="3093" spans="1:12" ht="16.5" customHeight="1" x14ac:dyDescent="0.2">
      <c r="A3093" s="37"/>
      <c r="L3093" s="37"/>
    </row>
    <row r="3094" spans="1:12" ht="16.5" customHeight="1" x14ac:dyDescent="0.2">
      <c r="A3094" s="37"/>
      <c r="L3094" s="37"/>
    </row>
    <row r="3095" spans="1:12" ht="16.5" customHeight="1" x14ac:dyDescent="0.2">
      <c r="A3095" s="37"/>
      <c r="L3095" s="37"/>
    </row>
    <row r="3096" spans="1:12" ht="16.5" customHeight="1" x14ac:dyDescent="0.2">
      <c r="A3096" s="37"/>
      <c r="L3096" s="37"/>
    </row>
    <row r="3097" spans="1:12" ht="16.5" customHeight="1" x14ac:dyDescent="0.2">
      <c r="A3097" s="37"/>
      <c r="L3097" s="37"/>
    </row>
    <row r="3098" spans="1:12" ht="16.5" customHeight="1" x14ac:dyDescent="0.2">
      <c r="A3098" s="37"/>
      <c r="L3098" s="37"/>
    </row>
    <row r="3099" spans="1:12" ht="16.5" customHeight="1" x14ac:dyDescent="0.2">
      <c r="A3099" s="37"/>
      <c r="L3099" s="37"/>
    </row>
    <row r="3100" spans="1:12" ht="16.5" customHeight="1" x14ac:dyDescent="0.2">
      <c r="A3100" s="37"/>
      <c r="L3100" s="37"/>
    </row>
    <row r="3101" spans="1:12" ht="16.5" customHeight="1" x14ac:dyDescent="0.2">
      <c r="A3101" s="37"/>
      <c r="L3101" s="37"/>
    </row>
    <row r="3102" spans="1:12" ht="16.5" customHeight="1" x14ac:dyDescent="0.2">
      <c r="A3102" s="37"/>
      <c r="L3102" s="37"/>
    </row>
    <row r="3103" spans="1:12" ht="16.5" customHeight="1" x14ac:dyDescent="0.2">
      <c r="A3103" s="37"/>
      <c r="L3103" s="37"/>
    </row>
    <row r="3104" spans="1:12" ht="16.5" customHeight="1" x14ac:dyDescent="0.2">
      <c r="A3104" s="37"/>
      <c r="L3104" s="37"/>
    </row>
    <row r="3105" spans="1:12" ht="16.5" customHeight="1" x14ac:dyDescent="0.2">
      <c r="A3105" s="37"/>
      <c r="L3105" s="37"/>
    </row>
    <row r="3106" spans="1:12" ht="16.5" customHeight="1" x14ac:dyDescent="0.2">
      <c r="A3106" s="37"/>
      <c r="L3106" s="37"/>
    </row>
    <row r="3107" spans="1:12" ht="16.5" customHeight="1" x14ac:dyDescent="0.2">
      <c r="A3107" s="37"/>
      <c r="L3107" s="37"/>
    </row>
    <row r="3108" spans="1:12" ht="16.5" customHeight="1" x14ac:dyDescent="0.2">
      <c r="A3108" s="37"/>
      <c r="L3108" s="37"/>
    </row>
    <row r="3109" spans="1:12" ht="16.5" customHeight="1" x14ac:dyDescent="0.2">
      <c r="A3109" s="37"/>
      <c r="L3109" s="37"/>
    </row>
    <row r="3110" spans="1:12" ht="16.5" customHeight="1" x14ac:dyDescent="0.2">
      <c r="A3110" s="37"/>
      <c r="L3110" s="37"/>
    </row>
    <row r="3111" spans="1:12" ht="16.5" customHeight="1" x14ac:dyDescent="0.2">
      <c r="A3111" s="37"/>
      <c r="L3111" s="37"/>
    </row>
    <row r="3112" spans="1:12" ht="16.5" customHeight="1" x14ac:dyDescent="0.2">
      <c r="A3112" s="37"/>
      <c r="L3112" s="37"/>
    </row>
    <row r="3113" spans="1:12" ht="16.5" customHeight="1" x14ac:dyDescent="0.2">
      <c r="A3113" s="37"/>
      <c r="L3113" s="37"/>
    </row>
    <row r="3114" spans="1:12" ht="16.5" customHeight="1" x14ac:dyDescent="0.2">
      <c r="A3114" s="37"/>
      <c r="L3114" s="37"/>
    </row>
    <row r="3115" spans="1:12" ht="16.5" customHeight="1" x14ac:dyDescent="0.2">
      <c r="A3115" s="37"/>
      <c r="L3115" s="37"/>
    </row>
    <row r="3116" spans="1:12" ht="16.5" customHeight="1" x14ac:dyDescent="0.2">
      <c r="A3116" s="37"/>
      <c r="L3116" s="37"/>
    </row>
    <row r="3117" spans="1:12" ht="16.5" customHeight="1" x14ac:dyDescent="0.2">
      <c r="A3117" s="37"/>
      <c r="L3117" s="37"/>
    </row>
    <row r="3118" spans="1:12" ht="16.5" customHeight="1" x14ac:dyDescent="0.2">
      <c r="A3118" s="37"/>
      <c r="L3118" s="37"/>
    </row>
    <row r="3119" spans="1:12" ht="16.5" customHeight="1" x14ac:dyDescent="0.2">
      <c r="A3119" s="37"/>
      <c r="L3119" s="37"/>
    </row>
    <row r="3120" spans="1:12" ht="16.5" customHeight="1" x14ac:dyDescent="0.2">
      <c r="A3120" s="37"/>
      <c r="L3120" s="37"/>
    </row>
    <row r="3121" spans="1:12" ht="16.5" customHeight="1" x14ac:dyDescent="0.2">
      <c r="A3121" s="37"/>
      <c r="L3121" s="37"/>
    </row>
    <row r="3122" spans="1:12" ht="16.5" customHeight="1" x14ac:dyDescent="0.2">
      <c r="A3122" s="37"/>
      <c r="L3122" s="37"/>
    </row>
    <row r="3123" spans="1:12" ht="16.5" customHeight="1" x14ac:dyDescent="0.2">
      <c r="A3123" s="37"/>
      <c r="L3123" s="37"/>
    </row>
    <row r="3124" spans="1:12" ht="16.5" customHeight="1" x14ac:dyDescent="0.2">
      <c r="A3124" s="37"/>
      <c r="L3124" s="37"/>
    </row>
    <row r="3125" spans="1:12" ht="16.5" customHeight="1" x14ac:dyDescent="0.2">
      <c r="A3125" s="37"/>
      <c r="L3125" s="37"/>
    </row>
    <row r="3126" spans="1:12" ht="16.5" customHeight="1" x14ac:dyDescent="0.2">
      <c r="A3126" s="37"/>
      <c r="L3126" s="37"/>
    </row>
    <row r="3127" spans="1:12" ht="16.5" customHeight="1" x14ac:dyDescent="0.2">
      <c r="A3127" s="37"/>
      <c r="L3127" s="37"/>
    </row>
    <row r="3128" spans="1:12" ht="16.5" customHeight="1" x14ac:dyDescent="0.2">
      <c r="A3128" s="37"/>
      <c r="L3128" s="37"/>
    </row>
    <row r="3129" spans="1:12" ht="16.5" customHeight="1" x14ac:dyDescent="0.2">
      <c r="A3129" s="37"/>
      <c r="L3129" s="37"/>
    </row>
    <row r="3130" spans="1:12" ht="16.5" customHeight="1" x14ac:dyDescent="0.2">
      <c r="A3130" s="37"/>
      <c r="L3130" s="37"/>
    </row>
    <row r="3131" spans="1:12" ht="16.5" customHeight="1" x14ac:dyDescent="0.2">
      <c r="A3131" s="37"/>
      <c r="L3131" s="37"/>
    </row>
    <row r="3132" spans="1:12" ht="16.5" customHeight="1" x14ac:dyDescent="0.2">
      <c r="A3132" s="37"/>
      <c r="L3132" s="37"/>
    </row>
    <row r="3133" spans="1:12" ht="16.5" customHeight="1" x14ac:dyDescent="0.2">
      <c r="A3133" s="37"/>
      <c r="L3133" s="37"/>
    </row>
    <row r="3134" spans="1:12" ht="16.5" customHeight="1" x14ac:dyDescent="0.2">
      <c r="A3134" s="37"/>
      <c r="L3134" s="37"/>
    </row>
    <row r="3135" spans="1:12" ht="16.5" customHeight="1" x14ac:dyDescent="0.2">
      <c r="A3135" s="37"/>
      <c r="L3135" s="37"/>
    </row>
    <row r="3136" spans="1:12" ht="16.5" customHeight="1" x14ac:dyDescent="0.2">
      <c r="A3136" s="37"/>
      <c r="L3136" s="37"/>
    </row>
    <row r="3137" spans="1:12" ht="16.5" customHeight="1" x14ac:dyDescent="0.2">
      <c r="A3137" s="37"/>
      <c r="L3137" s="37"/>
    </row>
    <row r="3138" spans="1:12" ht="16.5" customHeight="1" x14ac:dyDescent="0.2">
      <c r="A3138" s="37"/>
      <c r="L3138" s="37"/>
    </row>
    <row r="3139" spans="1:12" ht="16.5" customHeight="1" x14ac:dyDescent="0.2">
      <c r="A3139" s="37"/>
      <c r="L3139" s="37"/>
    </row>
    <row r="3140" spans="1:12" ht="16.5" customHeight="1" x14ac:dyDescent="0.2">
      <c r="A3140" s="37"/>
      <c r="L3140" s="37"/>
    </row>
    <row r="3141" spans="1:12" ht="16.5" customHeight="1" x14ac:dyDescent="0.2">
      <c r="A3141" s="37"/>
      <c r="L3141" s="37"/>
    </row>
    <row r="3142" spans="1:12" ht="16.5" customHeight="1" x14ac:dyDescent="0.2">
      <c r="A3142" s="37"/>
      <c r="L3142" s="37"/>
    </row>
    <row r="3143" spans="1:12" ht="16.5" customHeight="1" x14ac:dyDescent="0.2">
      <c r="A3143" s="37"/>
      <c r="L3143" s="37"/>
    </row>
    <row r="3144" spans="1:12" ht="16.5" customHeight="1" x14ac:dyDescent="0.2">
      <c r="A3144" s="37"/>
      <c r="L3144" s="37"/>
    </row>
    <row r="3145" spans="1:12" ht="16.5" customHeight="1" x14ac:dyDescent="0.2">
      <c r="A3145" s="37"/>
      <c r="L3145" s="37"/>
    </row>
    <row r="3146" spans="1:12" ht="16.5" customHeight="1" x14ac:dyDescent="0.2">
      <c r="A3146" s="37"/>
      <c r="L3146" s="37"/>
    </row>
    <row r="3147" spans="1:12" ht="16.5" customHeight="1" x14ac:dyDescent="0.2">
      <c r="A3147" s="37"/>
      <c r="L3147" s="37"/>
    </row>
    <row r="3148" spans="1:12" ht="16.5" customHeight="1" x14ac:dyDescent="0.2">
      <c r="A3148" s="37"/>
      <c r="L3148" s="37"/>
    </row>
    <row r="3149" spans="1:12" ht="16.5" customHeight="1" x14ac:dyDescent="0.2">
      <c r="A3149" s="37"/>
      <c r="L3149" s="37"/>
    </row>
    <row r="3150" spans="1:12" ht="16.5" customHeight="1" x14ac:dyDescent="0.2">
      <c r="A3150" s="37"/>
      <c r="L3150" s="37"/>
    </row>
    <row r="3151" spans="1:12" ht="16.5" customHeight="1" x14ac:dyDescent="0.2">
      <c r="A3151" s="37"/>
      <c r="L3151" s="37"/>
    </row>
    <row r="3152" spans="1:12" ht="16.5" customHeight="1" x14ac:dyDescent="0.2">
      <c r="A3152" s="37"/>
      <c r="L3152" s="37"/>
    </row>
    <row r="3153" spans="1:12" ht="16.5" customHeight="1" x14ac:dyDescent="0.2">
      <c r="A3153" s="37"/>
      <c r="L3153" s="37"/>
    </row>
    <row r="3154" spans="1:12" ht="16.5" customHeight="1" x14ac:dyDescent="0.2">
      <c r="A3154" s="37"/>
      <c r="L3154" s="37"/>
    </row>
    <row r="3155" spans="1:12" ht="16.5" customHeight="1" x14ac:dyDescent="0.2">
      <c r="A3155" s="37"/>
      <c r="L3155" s="37"/>
    </row>
    <row r="3156" spans="1:12" ht="16.5" customHeight="1" x14ac:dyDescent="0.2">
      <c r="A3156" s="37"/>
      <c r="L3156" s="37"/>
    </row>
    <row r="3157" spans="1:12" ht="16.5" customHeight="1" x14ac:dyDescent="0.2">
      <c r="A3157" s="37"/>
      <c r="L3157" s="37"/>
    </row>
    <row r="3158" spans="1:12" ht="16.5" customHeight="1" x14ac:dyDescent="0.2">
      <c r="A3158" s="37"/>
      <c r="L3158" s="37"/>
    </row>
    <row r="3159" spans="1:12" ht="16.5" customHeight="1" x14ac:dyDescent="0.2">
      <c r="A3159" s="37"/>
      <c r="L3159" s="37"/>
    </row>
    <row r="3160" spans="1:12" ht="16.5" customHeight="1" x14ac:dyDescent="0.2">
      <c r="A3160" s="37"/>
      <c r="L3160" s="37"/>
    </row>
    <row r="3161" spans="1:12" ht="16.5" customHeight="1" x14ac:dyDescent="0.2">
      <c r="A3161" s="37"/>
      <c r="L3161" s="37"/>
    </row>
    <row r="3162" spans="1:12" ht="16.5" customHeight="1" x14ac:dyDescent="0.2">
      <c r="A3162" s="37"/>
      <c r="L3162" s="37"/>
    </row>
    <row r="3163" spans="1:12" ht="16.5" customHeight="1" x14ac:dyDescent="0.2">
      <c r="A3163" s="37"/>
      <c r="L3163" s="37"/>
    </row>
    <row r="3164" spans="1:12" ht="16.5" customHeight="1" x14ac:dyDescent="0.2">
      <c r="A3164" s="37"/>
      <c r="L3164" s="37"/>
    </row>
    <row r="3165" spans="1:12" ht="16.5" customHeight="1" x14ac:dyDescent="0.2">
      <c r="A3165" s="37"/>
      <c r="L3165" s="37"/>
    </row>
    <row r="3166" spans="1:12" ht="16.5" customHeight="1" x14ac:dyDescent="0.2">
      <c r="A3166" s="37"/>
      <c r="L3166" s="37"/>
    </row>
    <row r="3167" spans="1:12" ht="16.5" customHeight="1" x14ac:dyDescent="0.2">
      <c r="A3167" s="37"/>
      <c r="L3167" s="37"/>
    </row>
    <row r="3168" spans="1:12" ht="16.5" customHeight="1" x14ac:dyDescent="0.2">
      <c r="A3168" s="37"/>
      <c r="L3168" s="37"/>
    </row>
    <row r="3169" spans="1:12" ht="16.5" customHeight="1" x14ac:dyDescent="0.2">
      <c r="A3169" s="37"/>
      <c r="L3169" s="37"/>
    </row>
    <row r="3170" spans="1:12" ht="16.5" customHeight="1" x14ac:dyDescent="0.2">
      <c r="A3170" s="37"/>
      <c r="L3170" s="37"/>
    </row>
    <row r="3171" spans="1:12" ht="16.5" customHeight="1" x14ac:dyDescent="0.2">
      <c r="A3171" s="37"/>
      <c r="L3171" s="37"/>
    </row>
    <row r="3172" spans="1:12" ht="16.5" customHeight="1" x14ac:dyDescent="0.2">
      <c r="A3172" s="37"/>
      <c r="L3172" s="37"/>
    </row>
    <row r="3173" spans="1:12" ht="16.5" customHeight="1" x14ac:dyDescent="0.2">
      <c r="A3173" s="37"/>
      <c r="L3173" s="37"/>
    </row>
    <row r="3174" spans="1:12" ht="16.5" customHeight="1" x14ac:dyDescent="0.2">
      <c r="A3174" s="37"/>
      <c r="L3174" s="37"/>
    </row>
    <row r="3175" spans="1:12" ht="16.5" customHeight="1" x14ac:dyDescent="0.2">
      <c r="A3175" s="37"/>
      <c r="L3175" s="37"/>
    </row>
    <row r="3176" spans="1:12" ht="16.5" customHeight="1" x14ac:dyDescent="0.2">
      <c r="A3176" s="37"/>
      <c r="L3176" s="37"/>
    </row>
    <row r="3177" spans="1:12" ht="16.5" customHeight="1" x14ac:dyDescent="0.2">
      <c r="A3177" s="37"/>
      <c r="L3177" s="37"/>
    </row>
    <row r="3178" spans="1:12" ht="16.5" customHeight="1" x14ac:dyDescent="0.2">
      <c r="A3178" s="37"/>
      <c r="L3178" s="37"/>
    </row>
    <row r="3179" spans="1:12" ht="16.5" customHeight="1" x14ac:dyDescent="0.2">
      <c r="A3179" s="37"/>
      <c r="L3179" s="37"/>
    </row>
    <row r="3180" spans="1:12" ht="16.5" customHeight="1" x14ac:dyDescent="0.2">
      <c r="A3180" s="37"/>
      <c r="L3180" s="37"/>
    </row>
    <row r="3181" spans="1:12" ht="16.5" customHeight="1" x14ac:dyDescent="0.2">
      <c r="A3181" s="37"/>
      <c r="L3181" s="37"/>
    </row>
    <row r="3182" spans="1:12" ht="16.5" customHeight="1" x14ac:dyDescent="0.2">
      <c r="A3182" s="37"/>
      <c r="L3182" s="37"/>
    </row>
    <row r="3183" spans="1:12" ht="16.5" customHeight="1" x14ac:dyDescent="0.2">
      <c r="A3183" s="37"/>
      <c r="L3183" s="37"/>
    </row>
    <row r="3184" spans="1:12" ht="16.5" customHeight="1" x14ac:dyDescent="0.2">
      <c r="A3184" s="37"/>
      <c r="L3184" s="37"/>
    </row>
    <row r="3185" spans="1:12" ht="16.5" customHeight="1" x14ac:dyDescent="0.2">
      <c r="A3185" s="37"/>
      <c r="L3185" s="37"/>
    </row>
    <row r="3186" spans="1:12" ht="16.5" customHeight="1" x14ac:dyDescent="0.2">
      <c r="A3186" s="37"/>
      <c r="L3186" s="37"/>
    </row>
    <row r="3187" spans="1:12" ht="16.5" customHeight="1" x14ac:dyDescent="0.2">
      <c r="A3187" s="37"/>
      <c r="L3187" s="37"/>
    </row>
    <row r="3188" spans="1:12" ht="16.5" customHeight="1" x14ac:dyDescent="0.2">
      <c r="A3188" s="37"/>
      <c r="L3188" s="37"/>
    </row>
    <row r="3189" spans="1:12" ht="16.5" customHeight="1" x14ac:dyDescent="0.2">
      <c r="A3189" s="37"/>
      <c r="L3189" s="37"/>
    </row>
    <row r="3190" spans="1:12" ht="16.5" customHeight="1" x14ac:dyDescent="0.2">
      <c r="A3190" s="37"/>
      <c r="L3190" s="37"/>
    </row>
    <row r="3191" spans="1:12" ht="16.5" customHeight="1" x14ac:dyDescent="0.2">
      <c r="A3191" s="37"/>
      <c r="L3191" s="37"/>
    </row>
    <row r="3192" spans="1:12" ht="16.5" customHeight="1" x14ac:dyDescent="0.2">
      <c r="A3192" s="37"/>
      <c r="L3192" s="37"/>
    </row>
    <row r="3193" spans="1:12" ht="16.5" customHeight="1" x14ac:dyDescent="0.2">
      <c r="A3193" s="37"/>
      <c r="L3193" s="37"/>
    </row>
    <row r="3194" spans="1:12" ht="16.5" customHeight="1" x14ac:dyDescent="0.2">
      <c r="A3194" s="37"/>
      <c r="L3194" s="37"/>
    </row>
    <row r="3195" spans="1:12" ht="16.5" customHeight="1" x14ac:dyDescent="0.2">
      <c r="A3195" s="37"/>
      <c r="L3195" s="37"/>
    </row>
    <row r="3196" spans="1:12" ht="16.5" customHeight="1" x14ac:dyDescent="0.2">
      <c r="A3196" s="37"/>
      <c r="L3196" s="37"/>
    </row>
    <row r="3197" spans="1:12" ht="16.5" customHeight="1" x14ac:dyDescent="0.2">
      <c r="A3197" s="37"/>
      <c r="L3197" s="37"/>
    </row>
    <row r="3198" spans="1:12" ht="16.5" customHeight="1" x14ac:dyDescent="0.2">
      <c r="A3198" s="37"/>
      <c r="L3198" s="37"/>
    </row>
    <row r="3199" spans="1:12" ht="16.5" customHeight="1" x14ac:dyDescent="0.2">
      <c r="A3199" s="37"/>
      <c r="L3199" s="37"/>
    </row>
    <row r="3200" spans="1:12" ht="16.5" customHeight="1" x14ac:dyDescent="0.2">
      <c r="A3200" s="37"/>
      <c r="L3200" s="37"/>
    </row>
    <row r="3201" spans="1:12" ht="16.5" customHeight="1" x14ac:dyDescent="0.2">
      <c r="A3201" s="37"/>
      <c r="L3201" s="37"/>
    </row>
    <row r="3202" spans="1:12" ht="16.5" customHeight="1" x14ac:dyDescent="0.2">
      <c r="A3202" s="37"/>
      <c r="L3202" s="37"/>
    </row>
    <row r="3203" spans="1:12" ht="16.5" customHeight="1" x14ac:dyDescent="0.2">
      <c r="A3203" s="37"/>
      <c r="L3203" s="37"/>
    </row>
    <row r="3204" spans="1:12" ht="16.5" customHeight="1" x14ac:dyDescent="0.2">
      <c r="A3204" s="37"/>
      <c r="L3204" s="37"/>
    </row>
    <row r="3205" spans="1:12" ht="16.5" customHeight="1" x14ac:dyDescent="0.2">
      <c r="A3205" s="37"/>
      <c r="L3205" s="37"/>
    </row>
    <row r="3206" spans="1:12" ht="16.5" customHeight="1" x14ac:dyDescent="0.2">
      <c r="A3206" s="37"/>
      <c r="L3206" s="37"/>
    </row>
    <row r="3207" spans="1:12" ht="16.5" customHeight="1" x14ac:dyDescent="0.2">
      <c r="A3207" s="37"/>
      <c r="L3207" s="37"/>
    </row>
    <row r="3208" spans="1:12" ht="16.5" customHeight="1" x14ac:dyDescent="0.2">
      <c r="A3208" s="37"/>
      <c r="L3208" s="37"/>
    </row>
    <row r="3209" spans="1:12" ht="16.5" customHeight="1" x14ac:dyDescent="0.2">
      <c r="A3209" s="37"/>
      <c r="L3209" s="37"/>
    </row>
    <row r="3210" spans="1:12" ht="16.5" customHeight="1" x14ac:dyDescent="0.2">
      <c r="A3210" s="37"/>
      <c r="L3210" s="37"/>
    </row>
    <row r="3211" spans="1:12" ht="16.5" customHeight="1" x14ac:dyDescent="0.2">
      <c r="A3211" s="37"/>
      <c r="L3211" s="37"/>
    </row>
    <row r="3212" spans="1:12" ht="16.5" customHeight="1" x14ac:dyDescent="0.2">
      <c r="A3212" s="37"/>
      <c r="L3212" s="37"/>
    </row>
    <row r="3213" spans="1:12" ht="16.5" customHeight="1" x14ac:dyDescent="0.2">
      <c r="A3213" s="37"/>
      <c r="L3213" s="37"/>
    </row>
    <row r="3214" spans="1:12" ht="16.5" customHeight="1" x14ac:dyDescent="0.2">
      <c r="A3214" s="37"/>
      <c r="L3214" s="37"/>
    </row>
    <row r="3215" spans="1:12" ht="16.5" customHeight="1" x14ac:dyDescent="0.2">
      <c r="A3215" s="37"/>
      <c r="L3215" s="37"/>
    </row>
    <row r="3216" spans="1:12" ht="16.5" customHeight="1" x14ac:dyDescent="0.2">
      <c r="A3216" s="37"/>
      <c r="L3216" s="37"/>
    </row>
    <row r="3217" spans="1:12" ht="16.5" customHeight="1" x14ac:dyDescent="0.2">
      <c r="A3217" s="37"/>
      <c r="L3217" s="37"/>
    </row>
    <row r="3218" spans="1:12" ht="16.5" customHeight="1" x14ac:dyDescent="0.2">
      <c r="A3218" s="37"/>
      <c r="L3218" s="37"/>
    </row>
    <row r="3219" spans="1:12" ht="16.5" customHeight="1" x14ac:dyDescent="0.2">
      <c r="A3219" s="37"/>
      <c r="L3219" s="37"/>
    </row>
    <row r="3220" spans="1:12" ht="16.5" customHeight="1" x14ac:dyDescent="0.2">
      <c r="A3220" s="37"/>
      <c r="L3220" s="37"/>
    </row>
    <row r="3221" spans="1:12" ht="16.5" customHeight="1" x14ac:dyDescent="0.2">
      <c r="A3221" s="37"/>
      <c r="L3221" s="37"/>
    </row>
    <row r="3222" spans="1:12" ht="16.5" customHeight="1" x14ac:dyDescent="0.2">
      <c r="A3222" s="37"/>
      <c r="L3222" s="37"/>
    </row>
    <row r="3223" spans="1:12" ht="16.5" customHeight="1" x14ac:dyDescent="0.2">
      <c r="A3223" s="37"/>
      <c r="L3223" s="37"/>
    </row>
    <row r="3224" spans="1:12" ht="16.5" customHeight="1" x14ac:dyDescent="0.2">
      <c r="A3224" s="37"/>
      <c r="L3224" s="37"/>
    </row>
    <row r="3225" spans="1:12" ht="16.5" customHeight="1" x14ac:dyDescent="0.2">
      <c r="A3225" s="37"/>
      <c r="L3225" s="37"/>
    </row>
    <row r="3226" spans="1:12" ht="16.5" customHeight="1" x14ac:dyDescent="0.2">
      <c r="A3226" s="37"/>
      <c r="L3226" s="37"/>
    </row>
    <row r="3227" spans="1:12" ht="16.5" customHeight="1" x14ac:dyDescent="0.2">
      <c r="A3227" s="37"/>
      <c r="L3227" s="37"/>
    </row>
    <row r="3228" spans="1:12" ht="16.5" customHeight="1" x14ac:dyDescent="0.2">
      <c r="A3228" s="37"/>
      <c r="L3228" s="37"/>
    </row>
    <row r="3229" spans="1:12" ht="16.5" customHeight="1" x14ac:dyDescent="0.2">
      <c r="A3229" s="37"/>
      <c r="L3229" s="37"/>
    </row>
    <row r="3230" spans="1:12" ht="16.5" customHeight="1" x14ac:dyDescent="0.2">
      <c r="A3230" s="37"/>
      <c r="L3230" s="37"/>
    </row>
    <row r="3231" spans="1:12" ht="16.5" customHeight="1" x14ac:dyDescent="0.2">
      <c r="A3231" s="37"/>
      <c r="L3231" s="37"/>
    </row>
    <row r="3232" spans="1:12" ht="16.5" customHeight="1" x14ac:dyDescent="0.2">
      <c r="A3232" s="37"/>
      <c r="L3232" s="37"/>
    </row>
    <row r="3233" spans="1:12" ht="16.5" customHeight="1" x14ac:dyDescent="0.2">
      <c r="A3233" s="37"/>
      <c r="L3233" s="37"/>
    </row>
    <row r="3234" spans="1:12" ht="16.5" customHeight="1" x14ac:dyDescent="0.2">
      <c r="A3234" s="37"/>
      <c r="L3234" s="37"/>
    </row>
    <row r="3235" spans="1:12" ht="16.5" customHeight="1" x14ac:dyDescent="0.2">
      <c r="A3235" s="37"/>
      <c r="L3235" s="37"/>
    </row>
    <row r="3236" spans="1:12" ht="16.5" customHeight="1" x14ac:dyDescent="0.2">
      <c r="A3236" s="37"/>
      <c r="L3236" s="37"/>
    </row>
    <row r="3237" spans="1:12" ht="16.5" customHeight="1" x14ac:dyDescent="0.2">
      <c r="A3237" s="37"/>
      <c r="L3237" s="37"/>
    </row>
    <row r="3238" spans="1:12" ht="16.5" customHeight="1" x14ac:dyDescent="0.2">
      <c r="A3238" s="37"/>
      <c r="L3238" s="37"/>
    </row>
    <row r="3239" spans="1:12" ht="16.5" customHeight="1" x14ac:dyDescent="0.2">
      <c r="A3239" s="37"/>
      <c r="L3239" s="37"/>
    </row>
    <row r="3240" spans="1:12" ht="16.5" customHeight="1" x14ac:dyDescent="0.2">
      <c r="A3240" s="37"/>
      <c r="L3240" s="37"/>
    </row>
  </sheetData>
  <sheetProtection algorithmName="SHA-512" hashValue="VVQC0mheGmn/hwqgCp+Oqxqkt16kf2hIXOk53myvbOIi8eESNXbM77v5RkjTHxvuqikJ4cjpeFeOQj6jPFHoEQ==" saltValue="V1NLA0L6Dp/MTu92tG20pw==" spinCount="100000" sheet="1" objects="1" scenarios="1" selectLockedCells="1"/>
  <mergeCells count="11">
    <mergeCell ref="M31:O31"/>
    <mergeCell ref="Q20:S20"/>
    <mergeCell ref="U3:W3"/>
    <mergeCell ref="U8:W8"/>
    <mergeCell ref="M8:O8"/>
    <mergeCell ref="M2:O6"/>
    <mergeCell ref="Q3:S3"/>
    <mergeCell ref="Q14:S14"/>
    <mergeCell ref="U15:W15"/>
    <mergeCell ref="Q2:S2"/>
    <mergeCell ref="U2:W2"/>
  </mergeCells>
  <phoneticPr fontId="1" type="noConversion"/>
  <dataValidations count="3">
    <dataValidation type="decimal" allowBlank="1" showInputMessage="1" showErrorMessage="1" sqref="N9 N32" xr:uid="{00000000-0002-0000-0000-000000000000}">
      <formula1>0</formula1>
      <formula2>1000000</formula2>
    </dataValidation>
    <dataValidation type="list" allowBlank="1" showInputMessage="1" showErrorMessage="1" sqref="N17" xr:uid="{60E8ED60-3C33-44FF-8FB7-52F9C85DEF3D}">
      <formula1>$Y$51:$Y$52</formula1>
    </dataValidation>
    <dataValidation type="list" allowBlank="1" showInputMessage="1" showErrorMessage="1" sqref="N18" xr:uid="{3C7F674A-8768-4D9E-96F7-8373C85D703B}">
      <formula1>$AD$51:$AD$52</formula1>
    </dataValidation>
  </dataValidations>
  <pageMargins left="0.47" right="0.46" top="0.68" bottom="0.69" header="0.5" footer="0.5"/>
  <pageSetup paperSize="9" scale="10" orientation="landscape" r:id="rId1"/>
  <headerFooter alignWithMargins="0"/>
  <drawing r:id="rId2"/>
  <legacyDrawing r:id="rId3"/>
  <oleObjects>
    <mc:AlternateContent xmlns:mc="http://schemas.openxmlformats.org/markup-compatibility/2006">
      <mc:Choice Requires="x14">
        <oleObject progId="Visio.Drawing.15" shapeId="1396" r:id="rId4">
          <objectPr defaultSize="0" autoPict="0" r:id="rId5">
            <anchor moveWithCells="1">
              <from>
                <xdr:col>1</xdr:col>
                <xdr:colOff>47625</xdr:colOff>
                <xdr:row>1</xdr:row>
                <xdr:rowOff>28575</xdr:rowOff>
              </from>
              <to>
                <xdr:col>10</xdr:col>
                <xdr:colOff>571500</xdr:colOff>
                <xdr:row>25</xdr:row>
                <xdr:rowOff>190500</xdr:rowOff>
              </to>
            </anchor>
          </objectPr>
        </oleObject>
      </mc:Choice>
      <mc:Fallback>
        <oleObject progId="Visio.Drawing.15" shapeId="139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97</vt:i4>
      </vt:variant>
    </vt:vector>
  </HeadingPairs>
  <TitlesOfParts>
    <vt:vector size="98" baseType="lpstr">
      <vt:lpstr>NCP1623 design tool</vt:lpstr>
      <vt:lpstr>A_e</vt:lpstr>
      <vt:lpstr>A_pm</vt:lpstr>
      <vt:lpstr>Bmax</vt:lpstr>
      <vt:lpstr>Bst.Follow</vt:lpstr>
      <vt:lpstr>C_dt</vt:lpstr>
      <vt:lpstr>C_p</vt:lpstr>
      <vt:lpstr>C_z</vt:lpstr>
      <vt:lpstr>Caux</vt:lpstr>
      <vt:lpstr>Caux.recommed</vt:lpstr>
      <vt:lpstr>Cbulk</vt:lpstr>
      <vt:lpstr>Cbulk.min1</vt:lpstr>
      <vt:lpstr>Cbulk.min2</vt:lpstr>
      <vt:lpstr>Eff</vt:lpstr>
      <vt:lpstr>Eff.sim</vt:lpstr>
      <vt:lpstr>f_o</vt:lpstr>
      <vt:lpstr>f_p</vt:lpstr>
      <vt:lpstr>f_p2</vt:lpstr>
      <vt:lpstr>f_z</vt:lpstr>
      <vt:lpstr>fcross</vt:lpstr>
      <vt:lpstr>fline</vt:lpstr>
      <vt:lpstr>fline.sim</vt:lpstr>
      <vt:lpstr>G_EA</vt:lpstr>
      <vt:lpstr>G_o</vt:lpstr>
      <vt:lpstr>Ics.pk</vt:lpstr>
      <vt:lpstr>IFB.LL</vt:lpstr>
      <vt:lpstr>IL.pk.max</vt:lpstr>
      <vt:lpstr>Iout.ff</vt:lpstr>
      <vt:lpstr>Iout.max.sim</vt:lpstr>
      <vt:lpstr>Isw.rms</vt:lpstr>
      <vt:lpstr>K_cs</vt:lpstr>
      <vt:lpstr>KVFB.pkpk</vt:lpstr>
      <vt:lpstr>Lbst</vt:lpstr>
      <vt:lpstr>Lbst.max</vt:lpstr>
      <vt:lpstr>Lbst.sim</vt:lpstr>
      <vt:lpstr>Load.con1</vt:lpstr>
      <vt:lpstr>Load.con2</vt:lpstr>
      <vt:lpstr>Load.con3</vt:lpstr>
      <vt:lpstr>Load.con4</vt:lpstr>
      <vt:lpstr>N_a</vt:lpstr>
      <vt:lpstr>N_p</vt:lpstr>
      <vt:lpstr>option</vt:lpstr>
      <vt:lpstr>Pd.RCS.aux</vt:lpstr>
      <vt:lpstr>Pd.RCS.drain</vt:lpstr>
      <vt:lpstr>Pd.RFB</vt:lpstr>
      <vt:lpstr>Pin.ff</vt:lpstr>
      <vt:lpstr>Pin.max</vt:lpstr>
      <vt:lpstr>Po.max</vt:lpstr>
      <vt:lpstr>Pout.ff</vt:lpstr>
      <vt:lpstr>R_dt</vt:lpstr>
      <vt:lpstr>R_o</vt:lpstr>
      <vt:lpstr>R_z</vt:lpstr>
      <vt:lpstr>Rcs_2</vt:lpstr>
      <vt:lpstr>Rcs1.aux</vt:lpstr>
      <vt:lpstr>Rcs1.drain</vt:lpstr>
      <vt:lpstr>Rds.on</vt:lpstr>
      <vt:lpstr>RFB.total</vt:lpstr>
      <vt:lpstr>RFB1.f</vt:lpstr>
      <vt:lpstr>RFB1.LL</vt:lpstr>
      <vt:lpstr>RFB1.nom</vt:lpstr>
      <vt:lpstr>RFB2.f</vt:lpstr>
      <vt:lpstr>RFB2.LL</vt:lpstr>
      <vt:lpstr>RFB2.nom</vt:lpstr>
      <vt:lpstr>Rload</vt:lpstr>
      <vt:lpstr>Rsense</vt:lpstr>
      <vt:lpstr>tdt.con1</vt:lpstr>
      <vt:lpstr>tdt.con2</vt:lpstr>
      <vt:lpstr>tdt.con3</vt:lpstr>
      <vt:lpstr>tdt.con4</vt:lpstr>
      <vt:lpstr>thold.up</vt:lpstr>
      <vt:lpstr>ton.con1</vt:lpstr>
      <vt:lpstr>ton.con2</vt:lpstr>
      <vt:lpstr>ton.con3</vt:lpstr>
      <vt:lpstr>ton.con4</vt:lpstr>
      <vt:lpstr>Ton.max</vt:lpstr>
      <vt:lpstr>Ton.max.HL</vt:lpstr>
      <vt:lpstr>Ton.max.sim</vt:lpstr>
      <vt:lpstr>VCS.BO.EN</vt:lpstr>
      <vt:lpstr>VCS.BO.EX</vt:lpstr>
      <vt:lpstr>VCS.HL</vt:lpstr>
      <vt:lpstr>VCS.LL</vt:lpstr>
      <vt:lpstr>VCS.OVP2</vt:lpstr>
      <vt:lpstr>Vctrl.con1</vt:lpstr>
      <vt:lpstr>Vctrl.con2</vt:lpstr>
      <vt:lpstr>Vctrl.con3</vt:lpstr>
      <vt:lpstr>Vctrl.con4</vt:lpstr>
      <vt:lpstr>VCTRL.FF</vt:lpstr>
      <vt:lpstr>VDbd.f</vt:lpstr>
      <vt:lpstr>VDbst.f</vt:lpstr>
      <vt:lpstr>Vline.max</vt:lpstr>
      <vt:lpstr>Vline.min</vt:lpstr>
      <vt:lpstr>Vline.sim</vt:lpstr>
      <vt:lpstr>Vo.HL</vt:lpstr>
      <vt:lpstr>Vo.LL</vt:lpstr>
      <vt:lpstr>Vo.LL.input</vt:lpstr>
      <vt:lpstr>Vo.min</vt:lpstr>
      <vt:lpstr>Vout.sim</vt:lpstr>
      <vt:lpstr>zcd_sense</vt:lpstr>
    </vt:vector>
  </TitlesOfParts>
  <Company>ON Semiconductor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 Semiconductor</dc:creator>
  <cp:lastModifiedBy>Charles Eum</cp:lastModifiedBy>
  <cp:lastPrinted>2011-09-23T11:12:50Z</cp:lastPrinted>
  <dcterms:created xsi:type="dcterms:W3CDTF">2004-10-25T09:25:43Z</dcterms:created>
  <dcterms:modified xsi:type="dcterms:W3CDTF">2022-06-09T07:47:18Z</dcterms:modified>
</cp:coreProperties>
</file>